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tabRatio="870" activeTab="0"/>
  </bookViews>
  <sheets>
    <sheet name="Приложение 3" sheetId="1" r:id="rId1"/>
    <sheet name="Приложение 4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  <sheet name="Приложение 9" sheetId="7" r:id="rId7"/>
  </sheets>
  <definedNames/>
  <calcPr fullCalcOnLoad="1"/>
</workbook>
</file>

<file path=xl/sharedStrings.xml><?xml version="1.0" encoding="utf-8"?>
<sst xmlns="http://schemas.openxmlformats.org/spreadsheetml/2006/main" count="469" uniqueCount="214">
  <si>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</si>
  <si>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</si>
  <si>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</si>
  <si>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</si>
  <si>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</si>
  <si>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</si>
  <si>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</si>
  <si>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</si>
  <si>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</si>
  <si>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</si>
  <si>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от 17.09.2015 № 987)</t>
  </si>
  <si>
    <t>Наименование мероприятий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</si>
  <si>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</si>
  <si>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</si>
  <si>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</si>
  <si>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</si>
  <si>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</si>
  <si>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</si>
  <si>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Единица измерения</t>
  </si>
  <si>
    <t>№ п/п</t>
  </si>
  <si>
    <t>до 15 кВт включительно</t>
  </si>
  <si>
    <t>Ямальский филиал ООО "Газпромтранс"</t>
  </si>
  <si>
    <t>Приложение № 3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</si>
  <si>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</si>
  <si>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</si>
  <si>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</si>
  <si>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</si>
  <si>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</si>
  <si>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</si>
  <si>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</si>
  <si>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Стандартизированные тарифные ставки</t>
  </si>
  <si>
    <t>по 
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</si>
  <si>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</si>
  <si>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</si>
  <si>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</si>
  <si>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</si>
  <si>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</si>
  <si>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</si>
  <si>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</si>
  <si>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</si>
  <si>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</si>
  <si>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</si>
  <si>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</si>
  <si>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</si>
  <si>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</si>
  <si>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</si>
  <si>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</si>
  <si>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2019</t>
  </si>
  <si>
    <t>до 15 кВт</t>
  </si>
  <si>
    <t xml:space="preserve">свыше 15 до 150 кВт включительно </t>
  </si>
  <si>
    <t xml:space="preserve">свыше 150 до 670 кВт включительно </t>
  </si>
  <si>
    <t>свыше 670 кВт</t>
  </si>
  <si>
    <t>деревянная опора с изолированным алюминиевым проводом (0,4 кВ), с сечением до 50 мм2</t>
  </si>
  <si>
    <t>деревянная опора с изолированным алюминиевым проводом (0,4 кВ), с сечением от 50 до 100 мм2</t>
  </si>
  <si>
    <t>с применением метода горизонтального наклонного бурения с использованием многожильного кабеля с бумажной изоляцией сечением до 50 мм2 (0,4 кВ)</t>
  </si>
  <si>
    <t>с прокладкой в траншее с использованием многожильного кабеля с резиновой и пластмассовой изоляцией сечением от 200 до 500 мм2 (6 кВ)</t>
  </si>
  <si>
    <t>до 25 кВА включительно</t>
  </si>
  <si>
    <t>от 25 до 100 кВА включительно</t>
  </si>
  <si>
    <t>от 100 до 250 кВА включительно</t>
  </si>
  <si>
    <t>от 250 до 500 кВА включительно</t>
  </si>
  <si>
    <t>от 500 до 900 кВА включительно</t>
  </si>
  <si>
    <t>свыше 1000 кВА</t>
  </si>
  <si>
    <t xml:space="preserve">к стандартам раскрытия информации субъектами </t>
  </si>
  <si>
    <t>оптового и розничных рынков электрической энергии</t>
  </si>
  <si>
    <t>Расходы на мероприятия, осуществляемые на технологическое присоединение  на 2019 год</t>
  </si>
  <si>
    <t>от 15 до 150 кВт включительно</t>
  </si>
  <si>
    <t>свыше 150 кВт</t>
  </si>
  <si>
    <t xml:space="preserve"> свыше 150 до 670 кВт вкл.</t>
  </si>
  <si>
    <t xml:space="preserve"> НВВ, руб.</t>
  </si>
  <si>
    <t>объем макс. мощности, кВт</t>
  </si>
  <si>
    <t>ставки для расчета платы, руб./кВт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</si>
  <si>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</si>
  <si>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</si>
  <si>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3.1.</t>
  </si>
  <si>
    <t>3.2.</t>
  </si>
  <si>
    <t>3.3.</t>
  </si>
  <si>
    <t xml:space="preserve"> Ямальский филиал ООО "Газпромтранс"</t>
  </si>
  <si>
    <t>строительство центров питания и подстанций уровнем напряжения до 35 кВ</t>
  </si>
  <si>
    <t>3.4.</t>
  </si>
  <si>
    <t>строительство центров питания и подстанций уровнем напряжения 35 кВ и выше</t>
  </si>
  <si>
    <t>3.5.</t>
  </si>
  <si>
    <t>Участие 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</si>
  <si>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Проверка сетевой организацией выполнения заявителем технических условий:</t>
  </si>
  <si>
    <t>Фактические действия по присоединению и обеспечению работы энергопринимающих устройств потребителейв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электричесой сети:</t>
  </si>
  <si>
    <t>свышетт1000 кВА</t>
  </si>
  <si>
    <t>однотрансформаторные:</t>
  </si>
  <si>
    <t>двух трансформаторные:</t>
  </si>
  <si>
    <t>Приложение № 5</t>
  </si>
  <si>
    <t>Показатели</t>
  </si>
  <si>
    <t>услуги связи</t>
  </si>
  <si>
    <t>другие прочие расходы, связанные с производством и реализацией</t>
  </si>
  <si>
    <t>тыс.руб.</t>
  </si>
  <si>
    <t>Ожидаемые данные за текущий период</t>
  </si>
  <si>
    <t>Плановые показатели на следующий период</t>
  </si>
  <si>
    <t>свыше 15 до 150 кВт  вкл.</t>
  </si>
  <si>
    <t>свыше 150 до 670 кВт вкл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</si>
  <si>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</si>
  <si>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</si>
  <si>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</si>
  <si>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</si>
  <si>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</si>
  <si>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</si>
  <si>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</si>
  <si>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1.4</t>
  </si>
  <si>
    <t>Отчисления на страховые взносы</t>
  </si>
  <si>
    <t>1.5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</si>
  <si>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</si>
  <si>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</si>
  <si>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</si>
  <si>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</si>
  <si>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</si>
  <si>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</si>
  <si>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</si>
  <si>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 xml:space="preserve">1.5.3.2 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</si>
  <si>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</si>
  <si>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</si>
  <si>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</si>
  <si>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</si>
  <si>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1.5.3.5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</si>
  <si>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</si>
  <si>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</si>
  <si>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</si>
  <si>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</si>
  <si>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</si>
  <si>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</si>
  <si>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</si>
  <si>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</si>
  <si>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</si>
  <si>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-денежные выплаты социального характера (по Коллективному договору)</t>
  </si>
  <si>
    <t>2</t>
  </si>
  <si>
    <t>Расходы на строительство объектов электросетевого хозяйства - от существующих объектов электросевого хозяйства до присоединяемых энергопринимающих устройств и (или) объектов электроэнергетики</t>
  </si>
  <si>
    <t>3</t>
  </si>
  <si>
    <t xml:space="preserve">Выпадающие доходы/экономия средств       </t>
  </si>
  <si>
    <t>4</t>
  </si>
  <si>
    <t>Ямальский филиал ООО Газпромтранс"</t>
  </si>
  <si>
    <t>Расчет необходимой валовой выручки сетевой организации на технологическое присоединение на 2019 год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</si>
  <si>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</si>
  <si>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</si>
  <si>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</si>
  <si>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</si>
  <si>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</si>
  <si>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</si>
  <si>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6</t>
  </si>
  <si>
    <t>Фактические расходы (средние)на строительство подстанций за 3 предыдущих года (тыс. рублей)</t>
  </si>
  <si>
    <t>Средний объем мощности, введенной в основные фонды за 3 предыдущих года (кВт)</t>
  </si>
  <si>
    <t xml:space="preserve">Оплата труда </t>
  </si>
  <si>
    <t xml:space="preserve">Прочие расходы, всего, из них: </t>
  </si>
  <si>
    <t>расходы на аренду имущества</t>
  </si>
  <si>
    <t>Итого (размер необходимой валовой выручки (сумма п. 1-3)</t>
  </si>
  <si>
    <t>Приложение № 7</t>
  </si>
  <si>
    <t>о длине линий электропередачи и об объемах максимальной</t>
  </si>
  <si>
    <t xml:space="preserve">мощности построенных объектов 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</si>
  <si>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</si>
  <si>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</si>
  <si>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</si>
  <si>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</si>
  <si>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</si>
  <si>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Расходы на строительство  воздушных и кабельных линий электропередачи на i-м уровне напряжения, фактически постпроенных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</si>
  <si>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</si>
  <si>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</si>
  <si>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</si>
  <si>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</si>
  <si>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</si>
  <si>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</si>
  <si>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</si>
  <si>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</si>
  <si>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</si>
  <si>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</si>
  <si>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</si>
  <si>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</si>
  <si>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</si>
  <si>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</si>
  <si>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</si>
  <si>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</si>
  <si>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</si>
  <si>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</si>
  <si>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</si>
  <si>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</si>
  <si>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</si>
  <si>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</si>
  <si>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</si>
  <si>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за текущий год
за текущий год</t>
  </si>
  <si>
    <t>Категория заявителей</t>
  </si>
  <si>
    <t>Количество заявок (штук)</t>
  </si>
  <si>
    <t>От 15 до 150 кВт - 
всего</t>
  </si>
  <si>
    <t>Объекты 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</si>
  <si>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</si>
  <si>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</si>
  <si>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уровень напряжения 0,4 кВ, с сечением провода от 50 до 100 мм2 включительно</t>
  </si>
  <si>
    <t>уровень напряжения 0,4 кВ, с сечением провода до 50 мм2 включительно</t>
  </si>
  <si>
    <t>уровень напряжения 6-10 кВ, с сечением провода до 50 мм2 включительно</t>
  </si>
  <si>
    <t>уровень напряжения 6-10 кВ, с сечением провода от 50 до 100 мм2 включительно</t>
  </si>
  <si>
    <t>уровень напряжения 0,4 кВ, с сечением провода от 100 до 200 мм2 включительно</t>
  </si>
  <si>
    <t>уровень напряжения 6-10 кВ, с сечением провода от 100 до 200 мм2 включительно</t>
  </si>
  <si>
    <t>уровень напряжения 0,4 кВ, с сечением провода от 200 до 500 мм2 включительно</t>
  </si>
  <si>
    <t>уровень напряжения 6-10 кВ, с сечением провода от 200 до 500 мм2 включительно</t>
  </si>
  <si>
    <t>2.1. Деревянная опора с изолированным алюминиевым проводом:</t>
  </si>
  <si>
    <t>2.2. Деревянная опора с неизолированным сталеалюминиевым проводом:</t>
  </si>
  <si>
    <t>2.3. Металлическая опора с изолированным алюминиевым проводом:</t>
  </si>
  <si>
    <t>2.4. Монтаж алюминиевого изолированного провода по установленным опорам:</t>
  </si>
  <si>
    <t>3.1. Многожильный кабель с резиновой и пластмассовой изоляцией с прокладкой в траншеях:</t>
  </si>
  <si>
    <t>3.2. Многожильный кабель с бумажной изоляцией с прокладкой в траншеях:</t>
  </si>
  <si>
    <t>3.3. Прокладка многожильного кабеля с резиновой и пластмассовой изоляцией по существующим галереям и эстакадам:</t>
  </si>
  <si>
    <t>3.4. Прокладка многожильного кабеля с бумажной изоляцией по существующим галереям и эстакадам:</t>
  </si>
  <si>
    <t>3.5. Прокладка многожильного кабеля с резиновой и пластмассовой изоляцией с применением метода горизонтального наклонного бурения:</t>
  </si>
  <si>
    <t>3.6. Прокладка многожильного кабеля с бумажной изоляцией с применением метода горизонтального наклонного бурения:</t>
  </si>
  <si>
    <t>4.1. Однотрансформаторные</t>
  </si>
  <si>
    <t>4.2. Двух трансформаторные</t>
  </si>
  <si>
    <t>C1.i*</t>
  </si>
  <si>
    <t>С2.i*</t>
  </si>
  <si>
    <t>С3.i*</t>
  </si>
  <si>
    <t>С4.i *</t>
  </si>
  <si>
    <t>с прокладкой в траншее с использованием многожильного кабеля с бумажной изоляцией сечением до 50 мм2 (0,4 кВ)</t>
  </si>
  <si>
    <t>с прокладкой в траншее с использованием многожильного кабеля с бумажной изоляцией сечением от 50 до 100 мм2 (0,4 кВ)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</si>
</sst>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_р_._-;\-* #,##0_р_._-;_-* &quot;-&quot;??_р_._-;_-@_-"/>
    <numFmt numFmtId="175" formatCode="_-* #,##0.00_р_._-;\-* #,##0.00_р_._-;_-* &quot;-&quot;_р_._-;_-@_-"/>
    <numFmt numFmtId="176" formatCode="_-* #,##0.0_р_._-;\-* #,##0.0_р_._-;_-* &quot;-&quot;??_р_._-;_-@_-"/>
    <numFmt numFmtId="177" formatCode="_-* #,##0.0_р_._-;\-* #,##0.0_р_._-;_-* &quot;-&quot;_р_._-;_-@_-"/>
    <numFmt numFmtId="178" formatCode="0.0000000"/>
    <numFmt numFmtId="179" formatCode="_-* #,##0.000_р_._-;\-* #,##0.000_р_._-;_-* &quot;-&quot;??_р_._-;_-@_-"/>
    <numFmt numFmtId="180" formatCode="_-* #,##0.000\ _₽_-;\-* #,##0.000\ _₽_-;_-* &quot;-&quot;???\ _₽_-;_-@_-"/>
    <numFmt numFmtId="181" formatCode="#,##0.0"/>
    <numFmt numFmtId="182" formatCode="_-* #,##0.0000_р_._-;\-* #,##0.0000_р_._-;_-* &quot;-&quot;??_р_._-;_-@_-"/>
    <numFmt numFmtId="183" formatCode="_-* #,##0.00000_р_._-;\-* #,##0.00000_р_._-;_-* &quot;-&quot;??_р_._-;_-@_-"/>
  </numFmts>
  <fonts count="8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i/>
      <u val="single"/>
      <sz val="11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53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6" fillId="0" borderId="0" xfId="53" applyFont="1" applyBorder="1" applyAlignment="1">
      <alignment horizontal="right"/>
      <protection/>
    </xf>
    <xf numFmtId="0" fontId="69" fillId="0" borderId="0" xfId="0" applyFont="1" applyAlignment="1">
      <alignment horizontal="right"/>
    </xf>
    <xf numFmtId="0" fontId="6" fillId="0" borderId="0" xfId="53" applyFont="1" applyFill="1" applyBorder="1" applyAlignment="1">
      <alignment horizontal="left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71" fontId="41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71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70" fillId="0" borderId="0" xfId="0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/>
    </xf>
    <xf numFmtId="174" fontId="41" fillId="0" borderId="10" xfId="0" applyNumberFormat="1" applyFont="1" applyFill="1" applyBorder="1" applyAlignment="1">
      <alignment/>
    </xf>
    <xf numFmtId="169" fontId="4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75" fontId="41" fillId="0" borderId="10" xfId="0" applyNumberFormat="1" applyFont="1" applyFill="1" applyBorder="1" applyAlignment="1">
      <alignment/>
    </xf>
    <xf numFmtId="175" fontId="14" fillId="0" borderId="10" xfId="64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69" fontId="2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 wrapText="1"/>
    </xf>
    <xf numFmtId="175" fontId="2" fillId="0" borderId="10" xfId="64" applyNumberFormat="1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left" vertical="top"/>
      <protection/>
    </xf>
    <xf numFmtId="0" fontId="71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72" fillId="0" borderId="0" xfId="0" applyFont="1" applyAlignment="1">
      <alignment/>
    </xf>
    <xf numFmtId="0" fontId="18" fillId="0" borderId="13" xfId="54" applyFont="1" applyBorder="1" applyAlignment="1">
      <alignment horizontal="center" vertical="top" wrapText="1"/>
      <protection/>
    </xf>
    <xf numFmtId="0" fontId="18" fillId="0" borderId="11" xfId="54" applyFont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49" fontId="73" fillId="33" borderId="10" xfId="0" applyNumberFormat="1" applyFont="1" applyFill="1" applyBorder="1" applyAlignment="1">
      <alignment vertical="center" wrapText="1"/>
    </xf>
    <xf numFmtId="49" fontId="74" fillId="33" borderId="10" xfId="0" applyNumberFormat="1" applyFont="1" applyFill="1" applyBorder="1" applyAlignment="1">
      <alignment vertical="center" wrapText="1"/>
    </xf>
    <xf numFmtId="49" fontId="75" fillId="33" borderId="10" xfId="0" applyNumberFormat="1" applyFont="1" applyFill="1" applyBorder="1" applyAlignment="1">
      <alignment horizontal="left" vertical="center" wrapText="1"/>
    </xf>
    <xf numFmtId="49" fontId="76" fillId="33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left" vertical="center" wrapText="1"/>
    </xf>
    <xf numFmtId="49" fontId="73" fillId="33" borderId="10" xfId="0" applyNumberFormat="1" applyFont="1" applyFill="1" applyBorder="1" applyAlignment="1">
      <alignment horizontal="left" vertical="center" wrapText="1"/>
    </xf>
    <xf numFmtId="49" fontId="74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4" applyFont="1" applyBorder="1" applyAlignment="1">
      <alignment horizontal="center" wrapText="1"/>
      <protection/>
    </xf>
    <xf numFmtId="176" fontId="10" fillId="0" borderId="10" xfId="0" applyNumberFormat="1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71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 applyAlignment="1">
      <alignment horizontal="left"/>
      <protection/>
    </xf>
    <xf numFmtId="0" fontId="1" fillId="0" borderId="0" xfId="53" applyFont="1" applyBorder="1" applyAlignment="1">
      <alignment horizontal="left" vertical="top"/>
      <protection/>
    </xf>
    <xf numFmtId="0" fontId="6" fillId="0" borderId="0" xfId="53" applyFont="1" applyBorder="1" applyAlignment="1">
      <alignment horizontal="left"/>
      <protection/>
    </xf>
    <xf numFmtId="0" fontId="70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169" fontId="78" fillId="0" borderId="10" xfId="0" applyNumberFormat="1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 indent="2"/>
    </xf>
    <xf numFmtId="0" fontId="1" fillId="0" borderId="0" xfId="53" applyFont="1" applyBorder="1" applyAlignment="1">
      <alignment horizontal="right"/>
      <protection/>
    </xf>
    <xf numFmtId="0" fontId="76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71" fontId="2" fillId="0" borderId="11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174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1" fontId="2" fillId="0" borderId="1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7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74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 indent="1"/>
    </xf>
    <xf numFmtId="174" fontId="2" fillId="0" borderId="17" xfId="0" applyNumberFormat="1" applyFont="1" applyFill="1" applyBorder="1" applyAlignment="1">
      <alignment horizontal="center" vertical="top"/>
    </xf>
    <xf numFmtId="174" fontId="2" fillId="0" borderId="22" xfId="0" applyNumberFormat="1" applyFont="1" applyFill="1" applyBorder="1" applyAlignment="1">
      <alignment horizontal="center" vertical="top"/>
    </xf>
    <xf numFmtId="171" fontId="2" fillId="0" borderId="17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center" vertical="top"/>
    </xf>
    <xf numFmtId="174" fontId="2" fillId="0" borderId="12" xfId="0" applyNumberFormat="1" applyFont="1" applyFill="1" applyBorder="1" applyAlignment="1">
      <alignment horizontal="center" vertical="top"/>
    </xf>
    <xf numFmtId="171" fontId="2" fillId="0" borderId="10" xfId="0" applyNumberFormat="1" applyFont="1" applyFill="1" applyBorder="1" applyAlignment="1">
      <alignment horizontal="center" vertical="top"/>
    </xf>
    <xf numFmtId="171" fontId="78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0" fontId="7" fillId="0" borderId="23" xfId="0" applyFont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left" vertical="top" wrapText="1"/>
      <protection/>
    </xf>
    <xf numFmtId="0" fontId="70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9" fillId="0" borderId="12" xfId="55" applyFont="1" applyFill="1" applyBorder="1" applyAlignment="1">
      <alignment horizontal="center" vertical="center" wrapText="1" shrinkToFit="1"/>
      <protection/>
    </xf>
    <xf numFmtId="0" fontId="79" fillId="0" borderId="19" xfId="0" applyFont="1" applyBorder="1" applyAlignment="1">
      <alignment horizontal="center" vertical="center" wrapText="1" shrinkToFit="1"/>
    </xf>
    <xf numFmtId="0" fontId="78" fillId="0" borderId="0" xfId="0" applyFont="1" applyAlignment="1">
      <alignment horizontal="center"/>
    </xf>
    <xf numFmtId="0" fontId="11" fillId="0" borderId="0" xfId="54" applyFont="1" applyAlignment="1">
      <alignment horizontal="center" vertical="top" wrapText="1"/>
      <protection/>
    </xf>
    <xf numFmtId="0" fontId="11" fillId="0" borderId="0" xfId="54" applyFont="1" applyAlignment="1">
      <alignment horizontal="center" vertical="top"/>
      <protection/>
    </xf>
    <xf numFmtId="0" fontId="10" fillId="0" borderId="11" xfId="55" applyFont="1" applyFill="1" applyBorder="1" applyAlignment="1">
      <alignment horizontal="center" vertical="center" wrapText="1" shrinkToFit="1"/>
      <protection/>
    </xf>
    <xf numFmtId="0" fontId="10" fillId="0" borderId="17" xfId="55" applyFont="1" applyFill="1" applyBorder="1" applyAlignment="1">
      <alignment horizontal="center" vertical="center" wrapText="1" shrinkToFit="1"/>
      <protection/>
    </xf>
    <xf numFmtId="0" fontId="10" fillId="0" borderId="10" xfId="55" applyFont="1" applyFill="1" applyBorder="1" applyAlignment="1">
      <alignment horizontal="center" vertical="center" wrapText="1" shrinkToFit="1"/>
      <protection/>
    </xf>
    <xf numFmtId="0" fontId="70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 wrapText="1"/>
    </xf>
    <xf numFmtId="0" fontId="1" fillId="0" borderId="0" xfId="53" applyFont="1" applyBorder="1" applyAlignment="1">
      <alignment horizontal="left" vertical="top" wrapText="1"/>
      <protection/>
    </xf>
    <xf numFmtId="0" fontId="76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ПЛАН СМЕТА ЗАТРАТ ТРК 20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9"/>
  <sheetViews>
    <sheetView tabSelected="1" zoomScalePageLayoutView="0" workbookViewId="0" topLeftCell="A10">
      <selection activeCell="I20" sqref="I20:BA20"/>
    </sheetView>
  </sheetViews>
  <sheetFormatPr defaultColWidth="0.875" defaultRowHeight="12.75"/>
  <cols>
    <col min="1" max="47" width="0.875" style="2" customWidth="1"/>
    <col min="48" max="48" width="53.75390625" style="2" customWidth="1"/>
    <col min="49" max="86" width="0.875" style="2" customWidth="1"/>
    <col min="87" max="87" width="2.875" style="2" customWidth="1"/>
    <col min="88" max="101" width="0.875" style="2" customWidth="1"/>
    <col min="102" max="102" width="4.625" style="2" customWidth="1"/>
    <col min="103" max="103" width="9.75390625" style="2" customWidth="1"/>
    <col min="104" max="16384" width="0.875" style="2" customWidth="1"/>
  </cols>
  <sheetData>
    <row r="1" s="1" customFormat="1" ht="12.75">
      <c r="BO1" s="1" t="s">
        <v>22</v>
      </c>
    </row>
    <row r="2" spans="67:102" s="1" customFormat="1" ht="42.75" customHeight="1">
      <c r="BO2" s="175" t="s">
        <v>0</v>
      </c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</row>
    <row r="3" s="1" customFormat="1" ht="5.25" customHeight="1"/>
    <row r="4" s="7" customFormat="1" ht="12">
      <c r="BO4" s="7" t="s">
        <v>9</v>
      </c>
    </row>
    <row r="5" s="7" customFormat="1" ht="12">
      <c r="BO5" s="7" t="s">
        <v>10</v>
      </c>
    </row>
    <row r="6" s="1" customFormat="1" ht="12.75"/>
    <row r="7" s="3" customFormat="1" ht="16.5">
      <c r="CX7" s="4" t="s">
        <v>1</v>
      </c>
    </row>
    <row r="8" s="3" customFormat="1" ht="30" customHeight="1"/>
    <row r="9" spans="1:102" s="5" customFormat="1" ht="18.75">
      <c r="A9" s="176" t="s">
        <v>23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</row>
    <row r="10" spans="1:102" s="6" customFormat="1" ht="57" customHeight="1">
      <c r="A10" s="177" t="s">
        <v>24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</row>
    <row r="11" spans="36:88" s="6" customFormat="1" ht="18.75">
      <c r="AJ11" s="11" t="s">
        <v>25</v>
      </c>
      <c r="AK11" s="178" t="s">
        <v>21</v>
      </c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</row>
    <row r="12" spans="37:88" ht="14.25" customHeight="1">
      <c r="AK12" s="179" t="s">
        <v>26</v>
      </c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</row>
    <row r="13" spans="40:57" s="6" customFormat="1" ht="18.75">
      <c r="AN13" s="6" t="s">
        <v>27</v>
      </c>
      <c r="AS13" s="180" t="s">
        <v>47</v>
      </c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6" t="s">
        <v>28</v>
      </c>
    </row>
    <row r="15" spans="1:102" s="8" customFormat="1" ht="33" customHeight="1">
      <c r="A15" s="169" t="s">
        <v>29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 t="s">
        <v>18</v>
      </c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3" t="s">
        <v>30</v>
      </c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</row>
    <row r="16" spans="1:102" s="8" customFormat="1" ht="50.25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3" t="s">
        <v>12</v>
      </c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 t="s">
        <v>31</v>
      </c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</row>
    <row r="17" spans="1:102" s="9" customFormat="1" ht="132" customHeight="1">
      <c r="A17" s="151" t="s">
        <v>208</v>
      </c>
      <c r="B17" s="151"/>
      <c r="C17" s="151"/>
      <c r="D17" s="151"/>
      <c r="E17" s="151"/>
      <c r="F17" s="151"/>
      <c r="G17" s="151"/>
      <c r="H17" s="151"/>
      <c r="I17" s="147" t="s">
        <v>32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8"/>
      <c r="BB17" s="149" t="s">
        <v>33</v>
      </c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</row>
    <row r="18" spans="1:102" s="9" customFormat="1" ht="15.75">
      <c r="A18" s="146"/>
      <c r="B18" s="146"/>
      <c r="C18" s="146"/>
      <c r="D18" s="146"/>
      <c r="E18" s="146"/>
      <c r="F18" s="146"/>
      <c r="G18" s="146"/>
      <c r="H18" s="146"/>
      <c r="I18" s="154" t="s">
        <v>48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5"/>
      <c r="BB18" s="149" t="s">
        <v>33</v>
      </c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50">
        <f>BU23+BU28+BU33+BU38</f>
        <v>1167700</v>
      </c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>
        <f>BU18</f>
        <v>1167700</v>
      </c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</row>
    <row r="19" spans="1:102" s="9" customFormat="1" ht="15.75">
      <c r="A19" s="146"/>
      <c r="B19" s="146"/>
      <c r="C19" s="146"/>
      <c r="D19" s="146"/>
      <c r="E19" s="146"/>
      <c r="F19" s="146"/>
      <c r="G19" s="146"/>
      <c r="H19" s="146"/>
      <c r="I19" s="154" t="s">
        <v>49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5"/>
      <c r="BB19" s="149" t="s">
        <v>33</v>
      </c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50">
        <f>BU24+BU29+BU34+BU39</f>
        <v>183950</v>
      </c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>
        <f>BU19</f>
        <v>183950</v>
      </c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</row>
    <row r="20" spans="1:102" s="9" customFormat="1" ht="15.75" customHeight="1">
      <c r="A20" s="146"/>
      <c r="B20" s="146"/>
      <c r="C20" s="146"/>
      <c r="D20" s="146"/>
      <c r="E20" s="146"/>
      <c r="F20" s="146"/>
      <c r="G20" s="146"/>
      <c r="H20" s="146"/>
      <c r="I20" s="154" t="s">
        <v>50</v>
      </c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5"/>
      <c r="BB20" s="149" t="s">
        <v>33</v>
      </c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50">
        <f>BU25+BU30+BU35+BU40</f>
        <v>34230</v>
      </c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>
        <f>BU20</f>
        <v>34230</v>
      </c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</row>
    <row r="21" spans="1:102" s="9" customFormat="1" ht="15.75" customHeight="1">
      <c r="A21" s="146"/>
      <c r="B21" s="146"/>
      <c r="C21" s="146"/>
      <c r="D21" s="146"/>
      <c r="E21" s="146"/>
      <c r="F21" s="146"/>
      <c r="G21" s="146"/>
      <c r="H21" s="146"/>
      <c r="I21" s="154" t="s">
        <v>51</v>
      </c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5"/>
      <c r="BB21" s="149" t="s">
        <v>33</v>
      </c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50">
        <f>BU26+BU31+BU36+BU41</f>
        <v>15860</v>
      </c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>
        <f>BU21</f>
        <v>15860</v>
      </c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</row>
    <row r="22" spans="1:102" s="9" customFormat="1" ht="49.5" customHeight="1">
      <c r="A22" s="146" t="s">
        <v>34</v>
      </c>
      <c r="B22" s="146"/>
      <c r="C22" s="146"/>
      <c r="D22" s="146"/>
      <c r="E22" s="146"/>
      <c r="F22" s="146"/>
      <c r="G22" s="146"/>
      <c r="H22" s="146"/>
      <c r="I22" s="147" t="s">
        <v>35</v>
      </c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8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</row>
    <row r="23" spans="1:102" s="9" customFormat="1" ht="15.75">
      <c r="A23" s="146"/>
      <c r="B23" s="146"/>
      <c r="C23" s="146"/>
      <c r="D23" s="146"/>
      <c r="E23" s="146"/>
      <c r="F23" s="146"/>
      <c r="G23" s="146"/>
      <c r="H23" s="146"/>
      <c r="I23" s="154" t="s">
        <v>48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5"/>
      <c r="BB23" s="149" t="s">
        <v>33</v>
      </c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50">
        <f>311.39*1000</f>
        <v>311390</v>
      </c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>
        <f>BU23</f>
        <v>311390</v>
      </c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</row>
    <row r="24" spans="1:102" s="9" customFormat="1" ht="15.75">
      <c r="A24" s="146"/>
      <c r="B24" s="146"/>
      <c r="C24" s="146"/>
      <c r="D24" s="146"/>
      <c r="E24" s="146"/>
      <c r="F24" s="146"/>
      <c r="G24" s="146"/>
      <c r="H24" s="146"/>
      <c r="I24" s="154" t="s">
        <v>49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5"/>
      <c r="BB24" s="149" t="s">
        <v>33</v>
      </c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50">
        <f>40.89*1000</f>
        <v>40890</v>
      </c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>
        <f>BU24</f>
        <v>40890</v>
      </c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</row>
    <row r="25" spans="1:102" s="9" customFormat="1" ht="15.75" customHeight="1">
      <c r="A25" s="146"/>
      <c r="B25" s="146"/>
      <c r="C25" s="146"/>
      <c r="D25" s="146"/>
      <c r="E25" s="146"/>
      <c r="F25" s="146"/>
      <c r="G25" s="146"/>
      <c r="H25" s="146"/>
      <c r="I25" s="154" t="s">
        <v>50</v>
      </c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5"/>
      <c r="BB25" s="149" t="s">
        <v>33</v>
      </c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50">
        <f>9.23*1000</f>
        <v>9230</v>
      </c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>
        <f>BU25</f>
        <v>9230</v>
      </c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</row>
    <row r="26" spans="1:102" s="9" customFormat="1" ht="15.75" customHeight="1">
      <c r="A26" s="146"/>
      <c r="B26" s="146"/>
      <c r="C26" s="146"/>
      <c r="D26" s="146"/>
      <c r="E26" s="146"/>
      <c r="F26" s="146"/>
      <c r="G26" s="146"/>
      <c r="H26" s="146"/>
      <c r="I26" s="154" t="s">
        <v>51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5"/>
      <c r="BB26" s="149" t="s">
        <v>33</v>
      </c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50">
        <f>4.64*1000</f>
        <v>4640</v>
      </c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>
        <f>BU26</f>
        <v>4640</v>
      </c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</row>
    <row r="27" spans="1:102" s="9" customFormat="1" ht="32.25" customHeight="1">
      <c r="A27" s="168" t="s">
        <v>36</v>
      </c>
      <c r="B27" s="168"/>
      <c r="C27" s="168"/>
      <c r="D27" s="168"/>
      <c r="E27" s="168"/>
      <c r="F27" s="168"/>
      <c r="G27" s="168"/>
      <c r="H27" s="168"/>
      <c r="I27" s="166" t="s">
        <v>37</v>
      </c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7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</row>
    <row r="28" spans="1:102" s="9" customFormat="1" ht="15.75">
      <c r="A28" s="146"/>
      <c r="B28" s="146"/>
      <c r="C28" s="146"/>
      <c r="D28" s="146"/>
      <c r="E28" s="146"/>
      <c r="F28" s="146"/>
      <c r="G28" s="146"/>
      <c r="H28" s="146"/>
      <c r="I28" s="154" t="s">
        <v>48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5"/>
      <c r="BB28" s="149" t="s">
        <v>33</v>
      </c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50">
        <f>856.31*1000</f>
        <v>856310</v>
      </c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>
        <f>BU28</f>
        <v>856310</v>
      </c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</row>
    <row r="29" spans="1:102" s="9" customFormat="1" ht="15.75">
      <c r="A29" s="146"/>
      <c r="B29" s="146"/>
      <c r="C29" s="146"/>
      <c r="D29" s="146"/>
      <c r="E29" s="146"/>
      <c r="F29" s="146"/>
      <c r="G29" s="146"/>
      <c r="H29" s="146"/>
      <c r="I29" s="154" t="s">
        <v>49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5"/>
      <c r="BB29" s="149" t="s">
        <v>33</v>
      </c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50">
        <f>143.06*1000</f>
        <v>143060</v>
      </c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>
        <f>BU29</f>
        <v>143060</v>
      </c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</row>
    <row r="30" spans="1:102" s="9" customFormat="1" ht="15.75" customHeight="1">
      <c r="A30" s="146"/>
      <c r="B30" s="146"/>
      <c r="C30" s="146"/>
      <c r="D30" s="146"/>
      <c r="E30" s="146"/>
      <c r="F30" s="146"/>
      <c r="G30" s="146"/>
      <c r="H30" s="146"/>
      <c r="I30" s="154" t="s">
        <v>50</v>
      </c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5"/>
      <c r="BB30" s="149" t="s">
        <v>33</v>
      </c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50">
        <f>25*1000</f>
        <v>25000</v>
      </c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>
        <f>BU30</f>
        <v>25000</v>
      </c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</row>
    <row r="31" spans="1:102" s="9" customFormat="1" ht="15.75" customHeight="1">
      <c r="A31" s="146"/>
      <c r="B31" s="146"/>
      <c r="C31" s="146"/>
      <c r="D31" s="146"/>
      <c r="E31" s="146"/>
      <c r="F31" s="146"/>
      <c r="G31" s="146"/>
      <c r="H31" s="146"/>
      <c r="I31" s="154" t="s">
        <v>51</v>
      </c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5"/>
      <c r="BB31" s="149" t="s">
        <v>33</v>
      </c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50">
        <f>11.22*1000</f>
        <v>11220</v>
      </c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>
        <f>BU31</f>
        <v>11220</v>
      </c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</row>
    <row r="32" spans="1:102" s="9" customFormat="1" ht="66" customHeight="1">
      <c r="A32" s="146" t="s">
        <v>39</v>
      </c>
      <c r="B32" s="146"/>
      <c r="C32" s="146"/>
      <c r="D32" s="146"/>
      <c r="E32" s="146"/>
      <c r="F32" s="146"/>
      <c r="G32" s="146"/>
      <c r="H32" s="146"/>
      <c r="I32" s="147" t="s">
        <v>40</v>
      </c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8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</row>
    <row r="33" spans="1:102" s="9" customFormat="1" ht="15.75">
      <c r="A33" s="146"/>
      <c r="B33" s="146"/>
      <c r="C33" s="146"/>
      <c r="D33" s="146"/>
      <c r="E33" s="146"/>
      <c r="F33" s="146"/>
      <c r="G33" s="146"/>
      <c r="H33" s="146"/>
      <c r="I33" s="154" t="s">
        <v>48</v>
      </c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5"/>
      <c r="BB33" s="149" t="s">
        <v>33</v>
      </c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50">
        <v>0</v>
      </c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>
        <f>BU33</f>
        <v>0</v>
      </c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</row>
    <row r="34" spans="1:102" s="9" customFormat="1" ht="15.75">
      <c r="A34" s="146"/>
      <c r="B34" s="146"/>
      <c r="C34" s="146"/>
      <c r="D34" s="146"/>
      <c r="E34" s="146"/>
      <c r="F34" s="146"/>
      <c r="G34" s="146"/>
      <c r="H34" s="146"/>
      <c r="I34" s="154" t="s">
        <v>49</v>
      </c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5"/>
      <c r="BB34" s="149" t="s">
        <v>33</v>
      </c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50">
        <v>0</v>
      </c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>
        <f>BU34</f>
        <v>0</v>
      </c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</row>
    <row r="35" spans="1:102" s="9" customFormat="1" ht="15.75" customHeight="1">
      <c r="A35" s="146"/>
      <c r="B35" s="146"/>
      <c r="C35" s="146"/>
      <c r="D35" s="146"/>
      <c r="E35" s="146"/>
      <c r="F35" s="146"/>
      <c r="G35" s="146"/>
      <c r="H35" s="146"/>
      <c r="I35" s="154" t="s">
        <v>50</v>
      </c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5"/>
      <c r="BB35" s="149" t="s">
        <v>33</v>
      </c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50">
        <v>0</v>
      </c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>
        <f>BU35</f>
        <v>0</v>
      </c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</row>
    <row r="36" spans="1:102" s="9" customFormat="1" ht="15.75" customHeight="1">
      <c r="A36" s="146"/>
      <c r="B36" s="146"/>
      <c r="C36" s="146"/>
      <c r="D36" s="146"/>
      <c r="E36" s="146"/>
      <c r="F36" s="146"/>
      <c r="G36" s="146"/>
      <c r="H36" s="146"/>
      <c r="I36" s="154" t="s">
        <v>51</v>
      </c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5"/>
      <c r="BB36" s="149" t="s">
        <v>33</v>
      </c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50">
        <v>0</v>
      </c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>
        <f>BU36</f>
        <v>0</v>
      </c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</row>
    <row r="37" spans="1:102" s="9" customFormat="1" ht="66" customHeight="1">
      <c r="A37" s="146" t="s">
        <v>41</v>
      </c>
      <c r="B37" s="146"/>
      <c r="C37" s="146"/>
      <c r="D37" s="146"/>
      <c r="E37" s="146"/>
      <c r="F37" s="146"/>
      <c r="G37" s="146"/>
      <c r="H37" s="146"/>
      <c r="I37" s="147" t="s">
        <v>42</v>
      </c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8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</row>
    <row r="38" spans="1:102" s="9" customFormat="1" ht="15.75">
      <c r="A38" s="146"/>
      <c r="B38" s="146"/>
      <c r="C38" s="146"/>
      <c r="D38" s="146"/>
      <c r="E38" s="146"/>
      <c r="F38" s="146"/>
      <c r="G38" s="146"/>
      <c r="H38" s="146"/>
      <c r="I38" s="154" t="s">
        <v>48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5"/>
      <c r="BB38" s="149" t="s">
        <v>33</v>
      </c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50">
        <v>0</v>
      </c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>
        <f>BU38</f>
        <v>0</v>
      </c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</row>
    <row r="39" spans="1:102" s="9" customFormat="1" ht="15.75">
      <c r="A39" s="146"/>
      <c r="B39" s="146"/>
      <c r="C39" s="146"/>
      <c r="D39" s="146"/>
      <c r="E39" s="146"/>
      <c r="F39" s="146"/>
      <c r="G39" s="146"/>
      <c r="H39" s="146"/>
      <c r="I39" s="154" t="s">
        <v>49</v>
      </c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5"/>
      <c r="BB39" s="149" t="s">
        <v>33</v>
      </c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50">
        <v>0</v>
      </c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>
        <f>BU39</f>
        <v>0</v>
      </c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</row>
    <row r="40" spans="1:102" s="9" customFormat="1" ht="15.75" customHeight="1">
      <c r="A40" s="146"/>
      <c r="B40" s="146"/>
      <c r="C40" s="146"/>
      <c r="D40" s="146"/>
      <c r="E40" s="146"/>
      <c r="F40" s="146"/>
      <c r="G40" s="146"/>
      <c r="H40" s="146"/>
      <c r="I40" s="154" t="s">
        <v>50</v>
      </c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5"/>
      <c r="BB40" s="149" t="s">
        <v>33</v>
      </c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50">
        <v>0</v>
      </c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>
        <f>BU40</f>
        <v>0</v>
      </c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</row>
    <row r="41" spans="1:102" s="9" customFormat="1" ht="15.75" customHeight="1">
      <c r="A41" s="146"/>
      <c r="B41" s="146"/>
      <c r="C41" s="146"/>
      <c r="D41" s="146"/>
      <c r="E41" s="146"/>
      <c r="F41" s="146"/>
      <c r="G41" s="146"/>
      <c r="H41" s="146"/>
      <c r="I41" s="154" t="s">
        <v>51</v>
      </c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5"/>
      <c r="BB41" s="149" t="s">
        <v>33</v>
      </c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50">
        <v>0</v>
      </c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>
        <f>BU41</f>
        <v>0</v>
      </c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</row>
    <row r="42" spans="1:102" s="9" customFormat="1" ht="86.25" customHeight="1">
      <c r="A42" s="151" t="s">
        <v>209</v>
      </c>
      <c r="B42" s="151"/>
      <c r="C42" s="151"/>
      <c r="D42" s="151"/>
      <c r="E42" s="151"/>
      <c r="F42" s="151"/>
      <c r="G42" s="151"/>
      <c r="H42" s="151"/>
      <c r="I42" s="147" t="s">
        <v>43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8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</row>
    <row r="43" spans="1:102" s="9" customFormat="1" ht="15.75">
      <c r="A43" s="146"/>
      <c r="B43" s="146"/>
      <c r="C43" s="146"/>
      <c r="D43" s="146"/>
      <c r="E43" s="146"/>
      <c r="F43" s="146"/>
      <c r="G43" s="146"/>
      <c r="H43" s="146"/>
      <c r="I43" s="152" t="s">
        <v>196</v>
      </c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3"/>
      <c r="BB43" s="149" t="s">
        <v>38</v>
      </c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</row>
    <row r="44" spans="1:102" s="9" customFormat="1" ht="15.75">
      <c r="A44" s="146"/>
      <c r="B44" s="146"/>
      <c r="C44" s="146"/>
      <c r="D44" s="146"/>
      <c r="E44" s="146"/>
      <c r="F44" s="146"/>
      <c r="G44" s="146"/>
      <c r="H44" s="146"/>
      <c r="I44" s="147" t="s">
        <v>189</v>
      </c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8"/>
      <c r="BB44" s="149" t="s">
        <v>38</v>
      </c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50">
        <f>1948.03*1000</f>
        <v>1948030</v>
      </c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>
        <f aca="true" t="shared" si="0" ref="CJ44:CJ50">BU44</f>
        <v>1948030</v>
      </c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</row>
    <row r="45" spans="1:102" s="9" customFormat="1" ht="15.75">
      <c r="A45" s="146"/>
      <c r="B45" s="146"/>
      <c r="C45" s="146"/>
      <c r="D45" s="146"/>
      <c r="E45" s="146"/>
      <c r="F45" s="146"/>
      <c r="G45" s="146"/>
      <c r="H45" s="146"/>
      <c r="I45" s="147" t="s">
        <v>190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8"/>
      <c r="BB45" s="149" t="s">
        <v>38</v>
      </c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50">
        <f>3538.57*1000</f>
        <v>3538570</v>
      </c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>
        <f t="shared" si="0"/>
        <v>3538570</v>
      </c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</row>
    <row r="46" spans="1:102" s="9" customFormat="1" ht="15.75">
      <c r="A46" s="146"/>
      <c r="B46" s="146"/>
      <c r="C46" s="146"/>
      <c r="D46" s="146"/>
      <c r="E46" s="146"/>
      <c r="F46" s="146"/>
      <c r="G46" s="146"/>
      <c r="H46" s="146"/>
      <c r="I46" s="147" t="s">
        <v>188</v>
      </c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8"/>
      <c r="BB46" s="149" t="s">
        <v>38</v>
      </c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50">
        <f>1246.31*1000</f>
        <v>1246310</v>
      </c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>
        <f t="shared" si="0"/>
        <v>1246310</v>
      </c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</row>
    <row r="47" spans="1:102" s="9" customFormat="1" ht="15.75">
      <c r="A47" s="146"/>
      <c r="B47" s="146"/>
      <c r="C47" s="146"/>
      <c r="D47" s="146"/>
      <c r="E47" s="146"/>
      <c r="F47" s="146"/>
      <c r="G47" s="146"/>
      <c r="H47" s="146"/>
      <c r="I47" s="147" t="s">
        <v>191</v>
      </c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8"/>
      <c r="BB47" s="149" t="s">
        <v>38</v>
      </c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50">
        <f>3888.22*1000</f>
        <v>3888220</v>
      </c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>
        <f t="shared" si="0"/>
        <v>3888220</v>
      </c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</row>
    <row r="48" spans="1:102" s="9" customFormat="1" ht="15.75">
      <c r="A48" s="146"/>
      <c r="B48" s="146"/>
      <c r="C48" s="146"/>
      <c r="D48" s="146"/>
      <c r="E48" s="146"/>
      <c r="F48" s="146"/>
      <c r="G48" s="146"/>
      <c r="H48" s="146"/>
      <c r="I48" s="147" t="s">
        <v>192</v>
      </c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8"/>
      <c r="BB48" s="149" t="s">
        <v>38</v>
      </c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50">
        <f>2685.31*1000</f>
        <v>2685310</v>
      </c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>
        <f t="shared" si="0"/>
        <v>2685310</v>
      </c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</row>
    <row r="49" spans="1:102" s="9" customFormat="1" ht="15.75">
      <c r="A49" s="146"/>
      <c r="B49" s="146"/>
      <c r="C49" s="146"/>
      <c r="D49" s="146"/>
      <c r="E49" s="146"/>
      <c r="F49" s="146"/>
      <c r="G49" s="146"/>
      <c r="H49" s="146"/>
      <c r="I49" s="147" t="s">
        <v>193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8"/>
      <c r="BB49" s="149" t="s">
        <v>38</v>
      </c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50">
        <f>4525.2*1000</f>
        <v>4525200</v>
      </c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>
        <f t="shared" si="0"/>
        <v>4525200</v>
      </c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</row>
    <row r="50" spans="1:102" s="9" customFormat="1" ht="15.75">
      <c r="A50" s="146"/>
      <c r="B50" s="146"/>
      <c r="C50" s="146"/>
      <c r="D50" s="146"/>
      <c r="E50" s="146"/>
      <c r="F50" s="146"/>
      <c r="G50" s="146"/>
      <c r="H50" s="146"/>
      <c r="I50" s="147" t="s">
        <v>194</v>
      </c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8"/>
      <c r="BB50" s="149" t="s">
        <v>38</v>
      </c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50">
        <f>3536.94*1000</f>
        <v>3536940</v>
      </c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>
        <f t="shared" si="0"/>
        <v>3536940</v>
      </c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</row>
    <row r="51" spans="1:102" s="9" customFormat="1" ht="15.75">
      <c r="A51" s="146"/>
      <c r="B51" s="146"/>
      <c r="C51" s="146"/>
      <c r="D51" s="146"/>
      <c r="E51" s="146"/>
      <c r="F51" s="146"/>
      <c r="G51" s="146"/>
      <c r="H51" s="146"/>
      <c r="I51" s="152" t="s">
        <v>197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3"/>
      <c r="BB51" s="149" t="s">
        <v>38</v>
      </c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</row>
    <row r="52" spans="1:102" s="9" customFormat="1" ht="15.75">
      <c r="A52" s="146"/>
      <c r="B52" s="146"/>
      <c r="C52" s="146"/>
      <c r="D52" s="146"/>
      <c r="E52" s="146"/>
      <c r="F52" s="146"/>
      <c r="G52" s="146"/>
      <c r="H52" s="146"/>
      <c r="I52" s="147" t="s">
        <v>190</v>
      </c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8"/>
      <c r="BB52" s="149" t="s">
        <v>38</v>
      </c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50">
        <f>3710.53*1000</f>
        <v>3710530</v>
      </c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>
        <f>BU52</f>
        <v>3710530</v>
      </c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</row>
    <row r="53" spans="1:102" s="9" customFormat="1" ht="15.75">
      <c r="A53" s="146"/>
      <c r="B53" s="146"/>
      <c r="C53" s="146"/>
      <c r="D53" s="146"/>
      <c r="E53" s="146"/>
      <c r="F53" s="146"/>
      <c r="G53" s="146"/>
      <c r="H53" s="146"/>
      <c r="I53" s="147" t="s">
        <v>191</v>
      </c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8"/>
      <c r="BB53" s="149" t="s">
        <v>38</v>
      </c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50">
        <f>3882.57*1000</f>
        <v>3882570</v>
      </c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>
        <f>BU53</f>
        <v>3882570</v>
      </c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</row>
    <row r="54" spans="1:102" s="9" customFormat="1" ht="15.75">
      <c r="A54" s="146"/>
      <c r="B54" s="146"/>
      <c r="C54" s="146"/>
      <c r="D54" s="146"/>
      <c r="E54" s="146"/>
      <c r="F54" s="146"/>
      <c r="G54" s="146"/>
      <c r="H54" s="146"/>
      <c r="I54" s="147" t="s">
        <v>193</v>
      </c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8"/>
      <c r="BB54" s="149" t="s">
        <v>38</v>
      </c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50">
        <f>4013.77*1000</f>
        <v>4013770</v>
      </c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>
        <f>BU54</f>
        <v>4013770</v>
      </c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</row>
    <row r="55" spans="1:102" s="9" customFormat="1" ht="15.75">
      <c r="A55" s="146"/>
      <c r="B55" s="146"/>
      <c r="C55" s="146"/>
      <c r="D55" s="146"/>
      <c r="E55" s="146"/>
      <c r="F55" s="146"/>
      <c r="G55" s="146"/>
      <c r="H55" s="146"/>
      <c r="I55" s="147" t="s">
        <v>195</v>
      </c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8"/>
      <c r="BB55" s="149" t="s">
        <v>38</v>
      </c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50">
        <f>7911.61*1000</f>
        <v>7911610</v>
      </c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>
        <f>BU55</f>
        <v>7911610</v>
      </c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</row>
    <row r="56" spans="1:102" s="9" customFormat="1" ht="15.75">
      <c r="A56" s="146"/>
      <c r="B56" s="146"/>
      <c r="C56" s="146"/>
      <c r="D56" s="146"/>
      <c r="E56" s="146"/>
      <c r="F56" s="146"/>
      <c r="G56" s="146"/>
      <c r="H56" s="146"/>
      <c r="I56" s="152" t="s">
        <v>198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3"/>
      <c r="BB56" s="149" t="s">
        <v>38</v>
      </c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</row>
    <row r="57" spans="1:102" s="9" customFormat="1" ht="15.75">
      <c r="A57" s="146"/>
      <c r="B57" s="146"/>
      <c r="C57" s="146"/>
      <c r="D57" s="146"/>
      <c r="E57" s="146"/>
      <c r="F57" s="146"/>
      <c r="G57" s="146"/>
      <c r="H57" s="146"/>
      <c r="I57" s="147" t="s">
        <v>190</v>
      </c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8"/>
      <c r="BB57" s="149" t="s">
        <v>38</v>
      </c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50">
        <f>4269.09*1000</f>
        <v>4269090</v>
      </c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>
        <f>BU57</f>
        <v>4269090</v>
      </c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</row>
    <row r="58" spans="1:102" s="9" customFormat="1" ht="15.75">
      <c r="A58" s="146"/>
      <c r="B58" s="146"/>
      <c r="C58" s="146"/>
      <c r="D58" s="146"/>
      <c r="E58" s="146"/>
      <c r="F58" s="146"/>
      <c r="G58" s="146"/>
      <c r="H58" s="146"/>
      <c r="I58" s="147" t="s">
        <v>191</v>
      </c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8"/>
      <c r="BB58" s="149" t="s">
        <v>38</v>
      </c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50">
        <f>4323.88*1000</f>
        <v>4323880</v>
      </c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>
        <f>BU58</f>
        <v>4323880</v>
      </c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</row>
    <row r="59" spans="1:102" s="9" customFormat="1" ht="15.75">
      <c r="A59" s="146"/>
      <c r="B59" s="146"/>
      <c r="C59" s="146"/>
      <c r="D59" s="146"/>
      <c r="E59" s="146"/>
      <c r="F59" s="146"/>
      <c r="G59" s="146"/>
      <c r="H59" s="146"/>
      <c r="I59" s="147" t="s">
        <v>193</v>
      </c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8"/>
      <c r="BB59" s="149" t="s">
        <v>38</v>
      </c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50">
        <f>4838.28*1000</f>
        <v>4838280</v>
      </c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>
        <f>BU59</f>
        <v>4838280</v>
      </c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</row>
    <row r="60" spans="1:102" s="9" customFormat="1" ht="15.75">
      <c r="A60" s="146"/>
      <c r="B60" s="146"/>
      <c r="C60" s="146"/>
      <c r="D60" s="146"/>
      <c r="E60" s="146"/>
      <c r="F60" s="146"/>
      <c r="G60" s="146"/>
      <c r="H60" s="146"/>
      <c r="I60" s="152" t="s">
        <v>199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3"/>
      <c r="BB60" s="149" t="s">
        <v>38</v>
      </c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</row>
    <row r="61" spans="1:102" s="9" customFormat="1" ht="15.75">
      <c r="A61" s="146"/>
      <c r="B61" s="146"/>
      <c r="C61" s="146"/>
      <c r="D61" s="146"/>
      <c r="E61" s="146"/>
      <c r="F61" s="146"/>
      <c r="G61" s="146"/>
      <c r="H61" s="146"/>
      <c r="I61" s="147" t="s">
        <v>190</v>
      </c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8"/>
      <c r="BB61" s="149" t="s">
        <v>38</v>
      </c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50">
        <f>466.33*1000</f>
        <v>466330</v>
      </c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>
        <f>BU61</f>
        <v>466330</v>
      </c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</row>
    <row r="62" spans="1:102" s="9" customFormat="1" ht="15.75">
      <c r="A62" s="146"/>
      <c r="B62" s="146"/>
      <c r="C62" s="146"/>
      <c r="D62" s="146"/>
      <c r="E62" s="146"/>
      <c r="F62" s="146"/>
      <c r="G62" s="146"/>
      <c r="H62" s="146"/>
      <c r="I62" s="147" t="s">
        <v>191</v>
      </c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8"/>
      <c r="BB62" s="149" t="s">
        <v>38</v>
      </c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50">
        <f>576.07*1000</f>
        <v>576070</v>
      </c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>
        <f>BU62</f>
        <v>576070</v>
      </c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</row>
    <row r="63" spans="1:102" s="9" customFormat="1" ht="15.75">
      <c r="A63" s="146"/>
      <c r="B63" s="146"/>
      <c r="C63" s="146"/>
      <c r="D63" s="146"/>
      <c r="E63" s="146"/>
      <c r="F63" s="146"/>
      <c r="G63" s="146"/>
      <c r="H63" s="146"/>
      <c r="I63" s="147" t="s">
        <v>193</v>
      </c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8"/>
      <c r="BB63" s="149" t="s">
        <v>38</v>
      </c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50">
        <f>677.07*1000</f>
        <v>677070</v>
      </c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>
        <f>BU63</f>
        <v>677070</v>
      </c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</row>
    <row r="64" spans="1:102" s="9" customFormat="1" ht="84.75" customHeight="1">
      <c r="A64" s="151" t="s">
        <v>210</v>
      </c>
      <c r="B64" s="151"/>
      <c r="C64" s="151"/>
      <c r="D64" s="151"/>
      <c r="E64" s="151"/>
      <c r="F64" s="151"/>
      <c r="G64" s="151"/>
      <c r="H64" s="151"/>
      <c r="I64" s="166" t="s">
        <v>44</v>
      </c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7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</row>
    <row r="65" spans="1:102" s="9" customFormat="1" ht="35.25" customHeight="1">
      <c r="A65" s="146"/>
      <c r="B65" s="146"/>
      <c r="C65" s="146"/>
      <c r="D65" s="146"/>
      <c r="E65" s="146"/>
      <c r="F65" s="146"/>
      <c r="G65" s="146"/>
      <c r="H65" s="146"/>
      <c r="I65" s="152" t="s">
        <v>200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3"/>
      <c r="BB65" s="149" t="s">
        <v>38</v>
      </c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</row>
    <row r="66" spans="1:102" s="9" customFormat="1" ht="15.75">
      <c r="A66" s="146"/>
      <c r="B66" s="146"/>
      <c r="C66" s="146"/>
      <c r="D66" s="146"/>
      <c r="E66" s="146"/>
      <c r="F66" s="146"/>
      <c r="G66" s="146"/>
      <c r="H66" s="146"/>
      <c r="I66" s="147" t="s">
        <v>190</v>
      </c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8"/>
      <c r="BB66" s="149" t="s">
        <v>38</v>
      </c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50">
        <f>3044.31*1000</f>
        <v>3044310</v>
      </c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>
        <f>BU66</f>
        <v>3044310</v>
      </c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</row>
    <row r="67" spans="1:102" s="9" customFormat="1" ht="15.75">
      <c r="A67" s="146"/>
      <c r="B67" s="146"/>
      <c r="C67" s="146"/>
      <c r="D67" s="146"/>
      <c r="E67" s="146"/>
      <c r="F67" s="146"/>
      <c r="G67" s="146"/>
      <c r="H67" s="146"/>
      <c r="I67" s="147" t="s">
        <v>191</v>
      </c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8"/>
      <c r="BB67" s="149" t="s">
        <v>38</v>
      </c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50">
        <f>3282.98*1000</f>
        <v>3282980</v>
      </c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>
        <f>BU67</f>
        <v>3282980</v>
      </c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</row>
    <row r="68" spans="1:102" s="9" customFormat="1" ht="15.75">
      <c r="A68" s="146"/>
      <c r="B68" s="146"/>
      <c r="C68" s="146"/>
      <c r="D68" s="146"/>
      <c r="E68" s="146"/>
      <c r="F68" s="146"/>
      <c r="G68" s="146"/>
      <c r="H68" s="146"/>
      <c r="I68" s="147" t="s">
        <v>193</v>
      </c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8"/>
      <c r="BB68" s="149" t="s">
        <v>38</v>
      </c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50">
        <f>3797.62*1000</f>
        <v>3797620</v>
      </c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>
        <f>BU68</f>
        <v>3797620</v>
      </c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</row>
    <row r="69" spans="1:102" s="9" customFormat="1" ht="15.75">
      <c r="A69" s="146"/>
      <c r="B69" s="146"/>
      <c r="C69" s="146"/>
      <c r="D69" s="146"/>
      <c r="E69" s="146"/>
      <c r="F69" s="146"/>
      <c r="G69" s="146"/>
      <c r="H69" s="146"/>
      <c r="I69" s="147" t="s">
        <v>195</v>
      </c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8"/>
      <c r="BB69" s="149" t="s">
        <v>38</v>
      </c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50">
        <f>4640.25*1000</f>
        <v>4640250</v>
      </c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>
        <f>BU69</f>
        <v>4640250</v>
      </c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</row>
    <row r="70" spans="1:102" s="9" customFormat="1" ht="15.75">
      <c r="A70" s="146"/>
      <c r="B70" s="146"/>
      <c r="C70" s="146"/>
      <c r="D70" s="146"/>
      <c r="E70" s="146"/>
      <c r="F70" s="146"/>
      <c r="G70" s="146"/>
      <c r="H70" s="146"/>
      <c r="I70" s="152" t="s">
        <v>201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3"/>
      <c r="BB70" s="149" t="s">
        <v>38</v>
      </c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</row>
    <row r="71" spans="1:102" s="9" customFormat="1" ht="15.75">
      <c r="A71" s="146"/>
      <c r="B71" s="146"/>
      <c r="C71" s="146"/>
      <c r="D71" s="146"/>
      <c r="E71" s="146"/>
      <c r="F71" s="146"/>
      <c r="G71" s="146"/>
      <c r="H71" s="146"/>
      <c r="I71" s="147" t="s">
        <v>189</v>
      </c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8"/>
      <c r="BB71" s="149" t="s">
        <v>38</v>
      </c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50">
        <f>2731.55*1000</f>
        <v>2731550</v>
      </c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>
        <f>BU71</f>
        <v>2731550</v>
      </c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</row>
    <row r="72" spans="1:102" s="9" customFormat="1" ht="15.75">
      <c r="A72" s="146"/>
      <c r="B72" s="146"/>
      <c r="C72" s="146"/>
      <c r="D72" s="146"/>
      <c r="E72" s="146"/>
      <c r="F72" s="146"/>
      <c r="G72" s="146"/>
      <c r="H72" s="146"/>
      <c r="I72" s="147" t="s">
        <v>188</v>
      </c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8"/>
      <c r="BB72" s="149" t="s">
        <v>38</v>
      </c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50">
        <f>2459.89*1000</f>
        <v>2459890</v>
      </c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>
        <f>BU72</f>
        <v>2459890</v>
      </c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</row>
    <row r="73" spans="1:102" s="9" customFormat="1" ht="15.75">
      <c r="A73" s="146"/>
      <c r="B73" s="146"/>
      <c r="C73" s="146"/>
      <c r="D73" s="146"/>
      <c r="E73" s="146"/>
      <c r="F73" s="146"/>
      <c r="G73" s="146"/>
      <c r="H73" s="146"/>
      <c r="I73" s="147" t="s">
        <v>192</v>
      </c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8"/>
      <c r="BB73" s="149" t="s">
        <v>38</v>
      </c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50">
        <f>3755.88*1000</f>
        <v>3755880</v>
      </c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>
        <f>BU73</f>
        <v>3755880</v>
      </c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</row>
    <row r="74" spans="1:102" s="9" customFormat="1" ht="15.75">
      <c r="A74" s="146"/>
      <c r="B74" s="146"/>
      <c r="C74" s="146"/>
      <c r="D74" s="146"/>
      <c r="E74" s="146"/>
      <c r="F74" s="146"/>
      <c r="G74" s="146"/>
      <c r="H74" s="146"/>
      <c r="I74" s="147" t="s">
        <v>194</v>
      </c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8"/>
      <c r="BB74" s="149" t="s">
        <v>38</v>
      </c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50">
        <f>4587*1000</f>
        <v>4587000</v>
      </c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>
        <f>BU74</f>
        <v>4587000</v>
      </c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</row>
    <row r="75" spans="1:102" s="9" customFormat="1" ht="35.25" customHeight="1">
      <c r="A75" s="146"/>
      <c r="B75" s="146"/>
      <c r="C75" s="146"/>
      <c r="D75" s="146"/>
      <c r="E75" s="146"/>
      <c r="F75" s="146"/>
      <c r="G75" s="146"/>
      <c r="H75" s="146"/>
      <c r="I75" s="152" t="s">
        <v>202</v>
      </c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3"/>
      <c r="BB75" s="149" t="s">
        <v>38</v>
      </c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</row>
    <row r="76" spans="1:102" s="9" customFormat="1" ht="15.75">
      <c r="A76" s="146"/>
      <c r="B76" s="146"/>
      <c r="C76" s="146"/>
      <c r="D76" s="146"/>
      <c r="E76" s="146"/>
      <c r="F76" s="146"/>
      <c r="G76" s="146"/>
      <c r="H76" s="146"/>
      <c r="I76" s="147" t="s">
        <v>190</v>
      </c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8"/>
      <c r="BB76" s="149" t="s">
        <v>38</v>
      </c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50">
        <f>4516.21*1000</f>
        <v>4516210</v>
      </c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>
        <f>BU76</f>
        <v>4516210</v>
      </c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</row>
    <row r="77" spans="1:102" s="9" customFormat="1" ht="15.75">
      <c r="A77" s="146"/>
      <c r="B77" s="146"/>
      <c r="C77" s="146"/>
      <c r="D77" s="146"/>
      <c r="E77" s="146"/>
      <c r="F77" s="146"/>
      <c r="G77" s="146"/>
      <c r="H77" s="146"/>
      <c r="I77" s="147" t="s">
        <v>191</v>
      </c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8"/>
      <c r="BB77" s="149" t="s">
        <v>38</v>
      </c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50">
        <f>4955.5*1000</f>
        <v>4955500</v>
      </c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>
        <f>BU77</f>
        <v>4955500</v>
      </c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</row>
    <row r="78" spans="1:102" s="9" customFormat="1" ht="15.75">
      <c r="A78" s="146"/>
      <c r="B78" s="146"/>
      <c r="C78" s="146"/>
      <c r="D78" s="146"/>
      <c r="E78" s="146"/>
      <c r="F78" s="146"/>
      <c r="G78" s="146"/>
      <c r="H78" s="146"/>
      <c r="I78" s="147" t="s">
        <v>193</v>
      </c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8"/>
      <c r="BB78" s="149" t="s">
        <v>38</v>
      </c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50">
        <f>5941.93*1000</f>
        <v>5941930</v>
      </c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>
        <f>BU78</f>
        <v>5941930</v>
      </c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</row>
    <row r="79" spans="1:102" s="9" customFormat="1" ht="15.75">
      <c r="A79" s="146"/>
      <c r="B79" s="146"/>
      <c r="C79" s="146"/>
      <c r="D79" s="146"/>
      <c r="E79" s="146"/>
      <c r="F79" s="146"/>
      <c r="G79" s="146"/>
      <c r="H79" s="146"/>
      <c r="I79" s="147" t="s">
        <v>195</v>
      </c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8"/>
      <c r="BB79" s="149" t="s">
        <v>38</v>
      </c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50">
        <f>6334.5*1000</f>
        <v>6334500</v>
      </c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>
        <f>BU79</f>
        <v>6334500</v>
      </c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</row>
    <row r="80" spans="1:102" s="9" customFormat="1" ht="33.75" customHeight="1">
      <c r="A80" s="146"/>
      <c r="B80" s="146"/>
      <c r="C80" s="146"/>
      <c r="D80" s="146"/>
      <c r="E80" s="146"/>
      <c r="F80" s="146"/>
      <c r="G80" s="146"/>
      <c r="H80" s="146"/>
      <c r="I80" s="152" t="s">
        <v>203</v>
      </c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3"/>
      <c r="BB80" s="149" t="s">
        <v>38</v>
      </c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</row>
    <row r="81" spans="1:102" s="9" customFormat="1" ht="15.75">
      <c r="A81" s="146"/>
      <c r="B81" s="146"/>
      <c r="C81" s="146"/>
      <c r="D81" s="146"/>
      <c r="E81" s="146"/>
      <c r="F81" s="146"/>
      <c r="G81" s="146"/>
      <c r="H81" s="146"/>
      <c r="I81" s="147" t="s">
        <v>189</v>
      </c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8"/>
      <c r="BB81" s="149" t="s">
        <v>38</v>
      </c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50">
        <f>3265.24*1000</f>
        <v>3265240</v>
      </c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>
        <f>BU81</f>
        <v>3265240</v>
      </c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</row>
    <row r="82" spans="1:102" s="9" customFormat="1" ht="15.75">
      <c r="A82" s="146"/>
      <c r="B82" s="146"/>
      <c r="C82" s="146"/>
      <c r="D82" s="146"/>
      <c r="E82" s="146"/>
      <c r="F82" s="146"/>
      <c r="G82" s="146"/>
      <c r="H82" s="146"/>
      <c r="I82" s="147" t="s">
        <v>188</v>
      </c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8"/>
      <c r="BB82" s="149" t="s">
        <v>38</v>
      </c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50">
        <f>3423.9*1000</f>
        <v>3423900</v>
      </c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>
        <f>BU82</f>
        <v>3423900</v>
      </c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</row>
    <row r="83" spans="1:102" s="9" customFormat="1" ht="35.25" customHeight="1">
      <c r="A83" s="146"/>
      <c r="B83" s="146"/>
      <c r="C83" s="146"/>
      <c r="D83" s="146"/>
      <c r="E83" s="146"/>
      <c r="F83" s="146"/>
      <c r="G83" s="146"/>
      <c r="H83" s="146"/>
      <c r="I83" s="152" t="s">
        <v>204</v>
      </c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3"/>
      <c r="BB83" s="149" t="s">
        <v>38</v>
      </c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0"/>
      <c r="CL83" s="150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</row>
    <row r="84" spans="1:102" s="9" customFormat="1" ht="15.75">
      <c r="A84" s="146"/>
      <c r="B84" s="146"/>
      <c r="C84" s="146"/>
      <c r="D84" s="146"/>
      <c r="E84" s="146"/>
      <c r="F84" s="146"/>
      <c r="G84" s="146"/>
      <c r="H84" s="146"/>
      <c r="I84" s="147" t="s">
        <v>190</v>
      </c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8"/>
      <c r="BB84" s="149" t="s">
        <v>38</v>
      </c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50">
        <f>3828.66*1000</f>
        <v>3828660</v>
      </c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>
        <f>BU84</f>
        <v>3828660</v>
      </c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</row>
    <row r="85" spans="1:102" s="9" customFormat="1" ht="15.75">
      <c r="A85" s="146"/>
      <c r="B85" s="146"/>
      <c r="C85" s="146"/>
      <c r="D85" s="146"/>
      <c r="E85" s="146"/>
      <c r="F85" s="146"/>
      <c r="G85" s="146"/>
      <c r="H85" s="146"/>
      <c r="I85" s="147" t="s">
        <v>191</v>
      </c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8"/>
      <c r="BB85" s="149" t="s">
        <v>38</v>
      </c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50">
        <f>4283.75*1000</f>
        <v>4283750</v>
      </c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>
        <f>BU85</f>
        <v>4283750</v>
      </c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</row>
    <row r="86" spans="1:102" s="9" customFormat="1" ht="15.75">
      <c r="A86" s="146"/>
      <c r="B86" s="146"/>
      <c r="C86" s="146"/>
      <c r="D86" s="146"/>
      <c r="E86" s="146"/>
      <c r="F86" s="146"/>
      <c r="G86" s="146"/>
      <c r="H86" s="146"/>
      <c r="I86" s="147" t="s">
        <v>193</v>
      </c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8"/>
      <c r="BB86" s="149" t="s">
        <v>38</v>
      </c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50">
        <f>5780.68*1000</f>
        <v>5780680</v>
      </c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>
        <f>BU86</f>
        <v>5780680</v>
      </c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</row>
    <row r="87" spans="1:102" s="9" customFormat="1" ht="15.75">
      <c r="A87" s="146"/>
      <c r="B87" s="146"/>
      <c r="C87" s="146"/>
      <c r="D87" s="146"/>
      <c r="E87" s="146"/>
      <c r="F87" s="146"/>
      <c r="G87" s="146"/>
      <c r="H87" s="146"/>
      <c r="I87" s="147" t="s">
        <v>195</v>
      </c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8"/>
      <c r="BB87" s="149" t="s">
        <v>38</v>
      </c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50">
        <f>6225.63*1000</f>
        <v>6225630</v>
      </c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>
        <f>BU87</f>
        <v>6225630</v>
      </c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</row>
    <row r="88" spans="1:102" s="9" customFormat="1" ht="15.75" customHeight="1">
      <c r="A88" s="146"/>
      <c r="B88" s="146"/>
      <c r="C88" s="146"/>
      <c r="D88" s="146"/>
      <c r="E88" s="146"/>
      <c r="F88" s="146"/>
      <c r="G88" s="146"/>
      <c r="H88" s="146"/>
      <c r="I88" s="152" t="s">
        <v>205</v>
      </c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3"/>
      <c r="BB88" s="149" t="s">
        <v>38</v>
      </c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</row>
    <row r="89" spans="1:102" s="9" customFormat="1" ht="15.75">
      <c r="A89" s="146"/>
      <c r="B89" s="146"/>
      <c r="C89" s="146"/>
      <c r="D89" s="146"/>
      <c r="E89" s="146"/>
      <c r="F89" s="146"/>
      <c r="G89" s="146"/>
      <c r="H89" s="146"/>
      <c r="I89" s="147" t="s">
        <v>189</v>
      </c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8"/>
      <c r="BB89" s="149" t="s">
        <v>38</v>
      </c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50">
        <f>3243.17*1000</f>
        <v>3243170</v>
      </c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>
        <f>BU89</f>
        <v>3243170</v>
      </c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</row>
    <row r="90" spans="1:102" s="9" customFormat="1" ht="15.75">
      <c r="A90" s="146"/>
      <c r="B90" s="146"/>
      <c r="C90" s="146"/>
      <c r="D90" s="146"/>
      <c r="E90" s="146"/>
      <c r="F90" s="146"/>
      <c r="G90" s="146"/>
      <c r="H90" s="146"/>
      <c r="I90" s="147" t="s">
        <v>188</v>
      </c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8"/>
      <c r="BB90" s="149" t="s">
        <v>38</v>
      </c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50">
        <f>3553.05*1000</f>
        <v>3553050</v>
      </c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>
        <f>BU90</f>
        <v>3553050</v>
      </c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</row>
    <row r="91" spans="1:102" s="9" customFormat="1" ht="15.75">
      <c r="A91" s="146"/>
      <c r="B91" s="146"/>
      <c r="C91" s="146"/>
      <c r="D91" s="146"/>
      <c r="E91" s="146"/>
      <c r="F91" s="146"/>
      <c r="G91" s="146"/>
      <c r="H91" s="146"/>
      <c r="I91" s="147" t="s">
        <v>192</v>
      </c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8"/>
      <c r="BB91" s="149" t="s">
        <v>38</v>
      </c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50">
        <f>4320.54*1000</f>
        <v>4320540</v>
      </c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>
        <f>BU91</f>
        <v>4320540</v>
      </c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</row>
    <row r="92" spans="1:102" s="9" customFormat="1" ht="15.75">
      <c r="A92" s="146"/>
      <c r="B92" s="146"/>
      <c r="C92" s="146"/>
      <c r="D92" s="146"/>
      <c r="E92" s="146"/>
      <c r="F92" s="146"/>
      <c r="G92" s="146"/>
      <c r="H92" s="146"/>
      <c r="I92" s="147" t="s">
        <v>194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8"/>
      <c r="BB92" s="149" t="s">
        <v>38</v>
      </c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50">
        <f>5060.84*1000</f>
        <v>5060840</v>
      </c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>
        <f>BU92</f>
        <v>5060840</v>
      </c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</row>
    <row r="93" spans="1:102" s="9" customFormat="1" ht="80.25" customHeight="1">
      <c r="A93" s="151" t="s">
        <v>211</v>
      </c>
      <c r="B93" s="151"/>
      <c r="C93" s="151"/>
      <c r="D93" s="151"/>
      <c r="E93" s="151"/>
      <c r="F93" s="151"/>
      <c r="G93" s="151"/>
      <c r="H93" s="151"/>
      <c r="I93" s="147" t="s">
        <v>45</v>
      </c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8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</row>
    <row r="94" spans="1:102" s="9" customFormat="1" ht="15.75">
      <c r="A94" s="146"/>
      <c r="B94" s="146"/>
      <c r="C94" s="146"/>
      <c r="D94" s="146"/>
      <c r="E94" s="146"/>
      <c r="F94" s="146"/>
      <c r="G94" s="146"/>
      <c r="H94" s="146"/>
      <c r="I94" s="152" t="s">
        <v>206</v>
      </c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3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</row>
    <row r="95" spans="1:102" s="9" customFormat="1" ht="15.75">
      <c r="A95" s="146"/>
      <c r="B95" s="146"/>
      <c r="C95" s="146"/>
      <c r="D95" s="146"/>
      <c r="E95" s="146"/>
      <c r="F95" s="146"/>
      <c r="G95" s="146"/>
      <c r="H95" s="146"/>
      <c r="I95" s="157" t="s">
        <v>56</v>
      </c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8"/>
      <c r="BB95" s="149" t="s">
        <v>33</v>
      </c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50">
        <f>51.55*1000</f>
        <v>51550</v>
      </c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>
        <f>BU95</f>
        <v>51550</v>
      </c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</row>
    <row r="96" spans="1:102" s="9" customFormat="1" ht="15.75">
      <c r="A96" s="146"/>
      <c r="B96" s="146"/>
      <c r="C96" s="146"/>
      <c r="D96" s="146"/>
      <c r="E96" s="146"/>
      <c r="F96" s="146"/>
      <c r="G96" s="146"/>
      <c r="H96" s="146"/>
      <c r="I96" s="157" t="s">
        <v>57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8"/>
      <c r="BB96" s="149" t="s">
        <v>33</v>
      </c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60">
        <f>18.44*1000</f>
        <v>18440</v>
      </c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2"/>
      <c r="CJ96" s="150">
        <f>BU96</f>
        <v>18440</v>
      </c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</row>
    <row r="97" spans="1:102" s="9" customFormat="1" ht="15.75">
      <c r="A97" s="146"/>
      <c r="B97" s="146"/>
      <c r="C97" s="146"/>
      <c r="D97" s="146"/>
      <c r="E97" s="146"/>
      <c r="F97" s="146"/>
      <c r="G97" s="146"/>
      <c r="H97" s="146"/>
      <c r="I97" s="157" t="s">
        <v>58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8"/>
      <c r="BB97" s="149" t="s">
        <v>33</v>
      </c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56">
        <f>10.22*1000</f>
        <v>10220</v>
      </c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0">
        <f>BU97</f>
        <v>10220</v>
      </c>
      <c r="CK97" s="150"/>
      <c r="CL97" s="150"/>
      <c r="CM97" s="150"/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50"/>
    </row>
    <row r="98" spans="1:102" s="9" customFormat="1" ht="15.75">
      <c r="A98" s="146"/>
      <c r="B98" s="146"/>
      <c r="C98" s="146"/>
      <c r="D98" s="146"/>
      <c r="E98" s="146"/>
      <c r="F98" s="146"/>
      <c r="G98" s="146"/>
      <c r="H98" s="146"/>
      <c r="I98" s="157" t="s">
        <v>59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8"/>
      <c r="BB98" s="149" t="s">
        <v>33</v>
      </c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56">
        <f>20.79*1000</f>
        <v>20790</v>
      </c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0">
        <f>BU98</f>
        <v>20790</v>
      </c>
      <c r="CK98" s="150"/>
      <c r="CL98" s="150"/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</row>
    <row r="99" spans="1:102" s="9" customFormat="1" ht="15.75">
      <c r="A99" s="146"/>
      <c r="B99" s="146"/>
      <c r="C99" s="146"/>
      <c r="D99" s="146"/>
      <c r="E99" s="146"/>
      <c r="F99" s="146"/>
      <c r="G99" s="146"/>
      <c r="H99" s="146"/>
      <c r="I99" s="157" t="s">
        <v>60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8"/>
      <c r="BB99" s="149" t="s">
        <v>33</v>
      </c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56">
        <f>13.19*1000</f>
        <v>13190</v>
      </c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0">
        <f>BU99</f>
        <v>13190</v>
      </c>
      <c r="CK99" s="150"/>
      <c r="CL99" s="150"/>
      <c r="CM99" s="150"/>
      <c r="CN99" s="150"/>
      <c r="CO99" s="150"/>
      <c r="CP99" s="150"/>
      <c r="CQ99" s="150"/>
      <c r="CR99" s="150"/>
      <c r="CS99" s="150"/>
      <c r="CT99" s="150"/>
      <c r="CU99" s="150"/>
      <c r="CV99" s="150"/>
      <c r="CW99" s="150"/>
      <c r="CX99" s="150"/>
    </row>
    <row r="100" spans="1:102" s="9" customFormat="1" ht="15.75">
      <c r="A100" s="146"/>
      <c r="B100" s="146"/>
      <c r="C100" s="146"/>
      <c r="D100" s="146"/>
      <c r="E100" s="146"/>
      <c r="F100" s="146"/>
      <c r="G100" s="146"/>
      <c r="H100" s="146"/>
      <c r="I100" s="152" t="s">
        <v>207</v>
      </c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3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</row>
    <row r="101" spans="1:102" s="9" customFormat="1" ht="15.75">
      <c r="A101" s="146"/>
      <c r="B101" s="146"/>
      <c r="C101" s="146"/>
      <c r="D101" s="146"/>
      <c r="E101" s="146"/>
      <c r="F101" s="146"/>
      <c r="G101" s="146"/>
      <c r="H101" s="146"/>
      <c r="I101" s="157" t="s">
        <v>58</v>
      </c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8"/>
      <c r="BB101" s="149" t="s">
        <v>33</v>
      </c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56">
        <f>49.75*1000</f>
        <v>49750</v>
      </c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0">
        <f>BU101</f>
        <v>49750</v>
      </c>
      <c r="CK101" s="150"/>
      <c r="CL101" s="150"/>
      <c r="CM101" s="150"/>
      <c r="CN101" s="150"/>
      <c r="CO101" s="150"/>
      <c r="CP101" s="150"/>
      <c r="CQ101" s="150"/>
      <c r="CR101" s="150"/>
      <c r="CS101" s="150"/>
      <c r="CT101" s="150"/>
      <c r="CU101" s="150"/>
      <c r="CV101" s="150"/>
      <c r="CW101" s="150"/>
      <c r="CX101" s="150"/>
    </row>
    <row r="102" spans="1:102" s="9" customFormat="1" ht="15.75">
      <c r="A102" s="146"/>
      <c r="B102" s="146"/>
      <c r="C102" s="146"/>
      <c r="D102" s="146"/>
      <c r="E102" s="146"/>
      <c r="F102" s="146"/>
      <c r="G102" s="146"/>
      <c r="H102" s="146"/>
      <c r="I102" s="157" t="s">
        <v>59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8"/>
      <c r="BB102" s="149" t="s">
        <v>33</v>
      </c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56">
        <f>32.58*1000</f>
        <v>32580</v>
      </c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0">
        <f>BU102</f>
        <v>32580</v>
      </c>
      <c r="CK102" s="150"/>
      <c r="CL102" s="150"/>
      <c r="CM102" s="150"/>
      <c r="CN102" s="150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</row>
    <row r="103" spans="1:102" s="9" customFormat="1" ht="15.75">
      <c r="A103" s="146"/>
      <c r="B103" s="146"/>
      <c r="C103" s="146"/>
      <c r="D103" s="146"/>
      <c r="E103" s="146"/>
      <c r="F103" s="146"/>
      <c r="G103" s="146"/>
      <c r="H103" s="146"/>
      <c r="I103" s="157" t="s">
        <v>60</v>
      </c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8"/>
      <c r="BB103" s="149" t="s">
        <v>33</v>
      </c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56">
        <f>18.67*1000</f>
        <v>18670</v>
      </c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0">
        <f>BU103</f>
        <v>18670</v>
      </c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0"/>
      <c r="CU103" s="150"/>
      <c r="CV103" s="150"/>
      <c r="CW103" s="150"/>
      <c r="CX103" s="150"/>
    </row>
    <row r="104" spans="1:102" s="9" customFormat="1" ht="15.75">
      <c r="A104" s="146"/>
      <c r="B104" s="146"/>
      <c r="C104" s="146"/>
      <c r="D104" s="146"/>
      <c r="E104" s="146"/>
      <c r="F104" s="146"/>
      <c r="G104" s="146"/>
      <c r="H104" s="146"/>
      <c r="I104" s="154" t="s">
        <v>61</v>
      </c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5"/>
      <c r="BB104" s="149" t="s">
        <v>33</v>
      </c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56">
        <f>17.66*1000</f>
        <v>17660</v>
      </c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0">
        <f>BU104</f>
        <v>17660</v>
      </c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</row>
    <row r="105" ht="4.5" customHeight="1"/>
    <row r="106" ht="4.5" customHeight="1"/>
    <row r="107" ht="4.5" customHeight="1"/>
    <row r="108" ht="4.5" customHeight="1"/>
    <row r="109" spans="1:102" ht="44.25" customHeight="1">
      <c r="A109" s="164" t="s">
        <v>46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</row>
    <row r="110" ht="3" customHeight="1"/>
  </sheetData>
  <sheetProtection/>
  <mergeCells count="452">
    <mergeCell ref="BO2:CX2"/>
    <mergeCell ref="A9:CX9"/>
    <mergeCell ref="A10:CX10"/>
    <mergeCell ref="AK11:CJ11"/>
    <mergeCell ref="AK12:CJ12"/>
    <mergeCell ref="AS13:BD13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BU22:CI22"/>
    <mergeCell ref="CJ22:CX22"/>
    <mergeCell ref="A27:H27"/>
    <mergeCell ref="I27:BA27"/>
    <mergeCell ref="BB27:BT27"/>
    <mergeCell ref="BU27:CI27"/>
    <mergeCell ref="CJ27:CX27"/>
    <mergeCell ref="A24:H24"/>
    <mergeCell ref="I24:BA24"/>
    <mergeCell ref="BB24:BT24"/>
    <mergeCell ref="A32:H32"/>
    <mergeCell ref="I32:BA32"/>
    <mergeCell ref="BB32:BT32"/>
    <mergeCell ref="BU32:CI32"/>
    <mergeCell ref="CJ32:CX32"/>
    <mergeCell ref="A37:H37"/>
    <mergeCell ref="I37:BA37"/>
    <mergeCell ref="BB37:BT37"/>
    <mergeCell ref="BU37:CI37"/>
    <mergeCell ref="CJ37:CX37"/>
    <mergeCell ref="A109:CX109"/>
    <mergeCell ref="A42:H42"/>
    <mergeCell ref="I42:BA42"/>
    <mergeCell ref="BB42:BT42"/>
    <mergeCell ref="BU42:CI42"/>
    <mergeCell ref="CJ42:CX42"/>
    <mergeCell ref="I64:BA64"/>
    <mergeCell ref="BB64:BT64"/>
    <mergeCell ref="BU64:CI64"/>
    <mergeCell ref="CJ64:CX64"/>
    <mergeCell ref="BB18:BT18"/>
    <mergeCell ref="BB20:BT20"/>
    <mergeCell ref="BB21:BT21"/>
    <mergeCell ref="BU18:CI18"/>
    <mergeCell ref="CJ18:CX18"/>
    <mergeCell ref="BU20:CI20"/>
    <mergeCell ref="CJ20:CX20"/>
    <mergeCell ref="BU21:CI21"/>
    <mergeCell ref="CJ21:CX21"/>
    <mergeCell ref="BB19:BT19"/>
    <mergeCell ref="I22:BA22"/>
    <mergeCell ref="BB22:BT22"/>
    <mergeCell ref="I18:BA18"/>
    <mergeCell ref="I20:BA20"/>
    <mergeCell ref="I21:BA21"/>
    <mergeCell ref="A18:H18"/>
    <mergeCell ref="A20:H20"/>
    <mergeCell ref="A21:H21"/>
    <mergeCell ref="A19:H19"/>
    <mergeCell ref="I19:BA19"/>
    <mergeCell ref="BU25:CI25"/>
    <mergeCell ref="CJ25:CX25"/>
    <mergeCell ref="BU19:CI19"/>
    <mergeCell ref="CJ19:CX19"/>
    <mergeCell ref="A23:H23"/>
    <mergeCell ref="I23:BA23"/>
    <mergeCell ref="BB23:BT23"/>
    <mergeCell ref="BU23:CI23"/>
    <mergeCell ref="CJ23:CX23"/>
    <mergeCell ref="A22:H22"/>
    <mergeCell ref="A28:H28"/>
    <mergeCell ref="I28:BA28"/>
    <mergeCell ref="BB28:BT28"/>
    <mergeCell ref="BU28:CI28"/>
    <mergeCell ref="CJ28:CX28"/>
    <mergeCell ref="BU24:CI24"/>
    <mergeCell ref="CJ24:CX24"/>
    <mergeCell ref="A25:H25"/>
    <mergeCell ref="I25:BA25"/>
    <mergeCell ref="BB25:BT25"/>
    <mergeCell ref="A30:H30"/>
    <mergeCell ref="I30:BA30"/>
    <mergeCell ref="BB30:BT30"/>
    <mergeCell ref="BU30:CI30"/>
    <mergeCell ref="CJ30:CX30"/>
    <mergeCell ref="A26:H26"/>
    <mergeCell ref="I26:BA26"/>
    <mergeCell ref="BB26:BT26"/>
    <mergeCell ref="BU26:CI26"/>
    <mergeCell ref="CJ26:CX26"/>
    <mergeCell ref="A33:H33"/>
    <mergeCell ref="I33:BA33"/>
    <mergeCell ref="BB33:BT33"/>
    <mergeCell ref="BU33:CI33"/>
    <mergeCell ref="CJ33:CX33"/>
    <mergeCell ref="A29:H29"/>
    <mergeCell ref="I29:BA29"/>
    <mergeCell ref="BB29:BT29"/>
    <mergeCell ref="BU29:CI29"/>
    <mergeCell ref="CJ29:CX29"/>
    <mergeCell ref="A35:H35"/>
    <mergeCell ref="I35:BA35"/>
    <mergeCell ref="BB35:BT35"/>
    <mergeCell ref="BU35:CI35"/>
    <mergeCell ref="CJ35:CX35"/>
    <mergeCell ref="A31:H31"/>
    <mergeCell ref="I31:BA31"/>
    <mergeCell ref="BB31:BT31"/>
    <mergeCell ref="BU31:CI31"/>
    <mergeCell ref="CJ31:CX31"/>
    <mergeCell ref="A38:H38"/>
    <mergeCell ref="I38:BA38"/>
    <mergeCell ref="BB38:BT38"/>
    <mergeCell ref="BU38:CI38"/>
    <mergeCell ref="CJ38:CX38"/>
    <mergeCell ref="A34:H34"/>
    <mergeCell ref="I34:BA34"/>
    <mergeCell ref="BB34:BT34"/>
    <mergeCell ref="BU34:CI34"/>
    <mergeCell ref="CJ34:CX34"/>
    <mergeCell ref="A40:H40"/>
    <mergeCell ref="I40:BA40"/>
    <mergeCell ref="BB40:BT40"/>
    <mergeCell ref="BU40:CI40"/>
    <mergeCell ref="CJ40:CX40"/>
    <mergeCell ref="A36:H36"/>
    <mergeCell ref="I36:BA36"/>
    <mergeCell ref="BB36:BT36"/>
    <mergeCell ref="BU36:CI36"/>
    <mergeCell ref="CJ36:CX36"/>
    <mergeCell ref="A83:H83"/>
    <mergeCell ref="I83:BA83"/>
    <mergeCell ref="BB83:BT83"/>
    <mergeCell ref="BU83:CI83"/>
    <mergeCell ref="CJ83:CX83"/>
    <mergeCell ref="A39:H39"/>
    <mergeCell ref="I39:BA39"/>
    <mergeCell ref="BB39:BT39"/>
    <mergeCell ref="BU39:CI39"/>
    <mergeCell ref="CJ39:CX39"/>
    <mergeCell ref="A82:H82"/>
    <mergeCell ref="I82:BA82"/>
    <mergeCell ref="BB82:BT82"/>
    <mergeCell ref="BU82:CI82"/>
    <mergeCell ref="CJ82:CX82"/>
    <mergeCell ref="A41:H41"/>
    <mergeCell ref="I41:BA41"/>
    <mergeCell ref="BB41:BT41"/>
    <mergeCell ref="BU41:CI41"/>
    <mergeCell ref="CJ41:CX41"/>
    <mergeCell ref="CJ69:CX69"/>
    <mergeCell ref="A81:H81"/>
    <mergeCell ref="I81:BA81"/>
    <mergeCell ref="BB81:BT81"/>
    <mergeCell ref="BU81:CI81"/>
    <mergeCell ref="CJ81:CX81"/>
    <mergeCell ref="A71:H71"/>
    <mergeCell ref="I71:BA71"/>
    <mergeCell ref="BB71:BT71"/>
    <mergeCell ref="BU71:CI71"/>
    <mergeCell ref="CJ71:CX71"/>
    <mergeCell ref="A64:H64"/>
    <mergeCell ref="A69:H69"/>
    <mergeCell ref="I69:BA69"/>
    <mergeCell ref="BB69:BT69"/>
    <mergeCell ref="BU69:CI69"/>
    <mergeCell ref="A73:H73"/>
    <mergeCell ref="I73:BA73"/>
    <mergeCell ref="BB73:BT73"/>
    <mergeCell ref="BU73:CI73"/>
    <mergeCell ref="CJ73:CX73"/>
    <mergeCell ref="A70:H70"/>
    <mergeCell ref="I70:BA70"/>
    <mergeCell ref="BB70:BT70"/>
    <mergeCell ref="BU70:CI70"/>
    <mergeCell ref="CJ70:CX70"/>
    <mergeCell ref="A75:H75"/>
    <mergeCell ref="I75:BA75"/>
    <mergeCell ref="BB75:BT75"/>
    <mergeCell ref="BU75:CI75"/>
    <mergeCell ref="CJ75:CX75"/>
    <mergeCell ref="A72:H72"/>
    <mergeCell ref="I72:BA72"/>
    <mergeCell ref="BB72:BT72"/>
    <mergeCell ref="BU72:CI72"/>
    <mergeCell ref="CJ72:CX72"/>
    <mergeCell ref="A99:H99"/>
    <mergeCell ref="I99:BA99"/>
    <mergeCell ref="BB99:BT99"/>
    <mergeCell ref="BU99:CI99"/>
    <mergeCell ref="CJ99:CX99"/>
    <mergeCell ref="A74:H74"/>
    <mergeCell ref="I74:BA74"/>
    <mergeCell ref="BB74:BT74"/>
    <mergeCell ref="BU74:CI74"/>
    <mergeCell ref="CJ74:CX74"/>
    <mergeCell ref="A78:H78"/>
    <mergeCell ref="I78:BA78"/>
    <mergeCell ref="BB78:BT78"/>
    <mergeCell ref="BU78:CI78"/>
    <mergeCell ref="CJ78:CX78"/>
    <mergeCell ref="A76:H76"/>
    <mergeCell ref="I76:BA76"/>
    <mergeCell ref="BB76:BT76"/>
    <mergeCell ref="BU76:CI76"/>
    <mergeCell ref="CJ76:CX76"/>
    <mergeCell ref="A79:H79"/>
    <mergeCell ref="I79:BA79"/>
    <mergeCell ref="BB79:BT79"/>
    <mergeCell ref="BU79:CI79"/>
    <mergeCell ref="CJ79:CX79"/>
    <mergeCell ref="A77:H77"/>
    <mergeCell ref="I77:BA77"/>
    <mergeCell ref="BB77:BT77"/>
    <mergeCell ref="BU77:CI77"/>
    <mergeCell ref="CJ77:CX77"/>
    <mergeCell ref="A97:H97"/>
    <mergeCell ref="I97:BA97"/>
    <mergeCell ref="BB97:BT97"/>
    <mergeCell ref="BU97:CI97"/>
    <mergeCell ref="CJ97:CX97"/>
    <mergeCell ref="A98:H98"/>
    <mergeCell ref="I98:BA98"/>
    <mergeCell ref="BB98:BT98"/>
    <mergeCell ref="BU98:CI98"/>
    <mergeCell ref="CJ98:CX98"/>
    <mergeCell ref="A96:H96"/>
    <mergeCell ref="I96:BA96"/>
    <mergeCell ref="BB96:BT96"/>
    <mergeCell ref="BU96:CI96"/>
    <mergeCell ref="CJ96:CX96"/>
    <mergeCell ref="A94:H94"/>
    <mergeCell ref="I94:BA94"/>
    <mergeCell ref="BB94:BT94"/>
    <mergeCell ref="BU94:CI94"/>
    <mergeCell ref="CJ94:CX94"/>
    <mergeCell ref="A100:H100"/>
    <mergeCell ref="I100:BA100"/>
    <mergeCell ref="BB100:BT100"/>
    <mergeCell ref="BU100:CI100"/>
    <mergeCell ref="CJ100:CX100"/>
    <mergeCell ref="A95:H95"/>
    <mergeCell ref="I95:BA95"/>
    <mergeCell ref="BB95:BT95"/>
    <mergeCell ref="BU95:CI95"/>
    <mergeCell ref="CJ95:CX95"/>
    <mergeCell ref="A103:H103"/>
    <mergeCell ref="I103:BA103"/>
    <mergeCell ref="BB103:BT103"/>
    <mergeCell ref="BU103:CI103"/>
    <mergeCell ref="CJ103:CX103"/>
    <mergeCell ref="A101:H101"/>
    <mergeCell ref="I101:BA101"/>
    <mergeCell ref="BB101:BT101"/>
    <mergeCell ref="BU101:CI101"/>
    <mergeCell ref="CJ101:CX101"/>
    <mergeCell ref="A104:H104"/>
    <mergeCell ref="I104:BA104"/>
    <mergeCell ref="BB104:BT104"/>
    <mergeCell ref="BU104:CI104"/>
    <mergeCell ref="CJ104:CX104"/>
    <mergeCell ref="A102:H102"/>
    <mergeCell ref="I102:BA102"/>
    <mergeCell ref="BB102:BT102"/>
    <mergeCell ref="BU102:CI102"/>
    <mergeCell ref="CJ102:CX102"/>
    <mergeCell ref="A44:H44"/>
    <mergeCell ref="I46:BA46"/>
    <mergeCell ref="BB44:BT44"/>
    <mergeCell ref="BU44:CI44"/>
    <mergeCell ref="CJ44:CX44"/>
    <mergeCell ref="A45:H45"/>
    <mergeCell ref="I45:BA45"/>
    <mergeCell ref="BB45:BT45"/>
    <mergeCell ref="BU45:CI45"/>
    <mergeCell ref="CJ45:CX45"/>
    <mergeCell ref="I44:BA44"/>
    <mergeCell ref="A46:H46"/>
    <mergeCell ref="BB46:BT46"/>
    <mergeCell ref="BU46:CI46"/>
    <mergeCell ref="CJ46:CX46"/>
    <mergeCell ref="A47:H47"/>
    <mergeCell ref="I47:BA47"/>
    <mergeCell ref="BB47:BT47"/>
    <mergeCell ref="BU47:CI47"/>
    <mergeCell ref="CJ47:CX47"/>
    <mergeCell ref="A43:H43"/>
    <mergeCell ref="I43:BA43"/>
    <mergeCell ref="BB43:BT43"/>
    <mergeCell ref="BU43:CI43"/>
    <mergeCell ref="CJ43:CX43"/>
    <mergeCell ref="A48:H48"/>
    <mergeCell ref="I48:BA48"/>
    <mergeCell ref="BB48:BT48"/>
    <mergeCell ref="BU48:CI48"/>
    <mergeCell ref="CJ48:CX48"/>
    <mergeCell ref="A49:H49"/>
    <mergeCell ref="I49:BA49"/>
    <mergeCell ref="BB49:BT49"/>
    <mergeCell ref="BU49:CI49"/>
    <mergeCell ref="CJ49:CX49"/>
    <mergeCell ref="A50:H50"/>
    <mergeCell ref="I50:BA50"/>
    <mergeCell ref="BB50:BT50"/>
    <mergeCell ref="BU50:CI50"/>
    <mergeCell ref="CJ50:CX50"/>
    <mergeCell ref="A51:H51"/>
    <mergeCell ref="I51:BA51"/>
    <mergeCell ref="BB51:BT51"/>
    <mergeCell ref="BU51:CI51"/>
    <mergeCell ref="CJ51:CX51"/>
    <mergeCell ref="A52:H52"/>
    <mergeCell ref="I52:BA52"/>
    <mergeCell ref="BB52:BT52"/>
    <mergeCell ref="BU52:CI52"/>
    <mergeCell ref="CJ52:CX52"/>
    <mergeCell ref="A53:H53"/>
    <mergeCell ref="I53:BA53"/>
    <mergeCell ref="BB53:BT53"/>
    <mergeCell ref="BU53:CI53"/>
    <mergeCell ref="CJ53:CX53"/>
    <mergeCell ref="A54:H54"/>
    <mergeCell ref="I54:BA54"/>
    <mergeCell ref="BB54:BT54"/>
    <mergeCell ref="BU54:CI54"/>
    <mergeCell ref="CJ54:CX54"/>
    <mergeCell ref="A55:H55"/>
    <mergeCell ref="I55:BA55"/>
    <mergeCell ref="BB55:BT55"/>
    <mergeCell ref="BU55:CI55"/>
    <mergeCell ref="CJ55:CX55"/>
    <mergeCell ref="A56:H56"/>
    <mergeCell ref="I56:BA56"/>
    <mergeCell ref="BB56:BT56"/>
    <mergeCell ref="BU56:CI56"/>
    <mergeCell ref="CJ56:CX56"/>
    <mergeCell ref="A57:H57"/>
    <mergeCell ref="I57:BA57"/>
    <mergeCell ref="BB57:BT57"/>
    <mergeCell ref="BU57:CI57"/>
    <mergeCell ref="CJ57:CX57"/>
    <mergeCell ref="A58:H58"/>
    <mergeCell ref="I58:BA58"/>
    <mergeCell ref="BB58:BT58"/>
    <mergeCell ref="BU58:CI58"/>
    <mergeCell ref="CJ58:CX58"/>
    <mergeCell ref="A59:H59"/>
    <mergeCell ref="I59:BA59"/>
    <mergeCell ref="BB59:BT59"/>
    <mergeCell ref="BU59:CI59"/>
    <mergeCell ref="CJ59:CX59"/>
    <mergeCell ref="A60:H60"/>
    <mergeCell ref="I60:BA60"/>
    <mergeCell ref="BB60:BT60"/>
    <mergeCell ref="BU60:CI60"/>
    <mergeCell ref="CJ60:CX60"/>
    <mergeCell ref="A61:H61"/>
    <mergeCell ref="I61:BA61"/>
    <mergeCell ref="BB61:BT61"/>
    <mergeCell ref="BU61:CI61"/>
    <mergeCell ref="CJ61:CX61"/>
    <mergeCell ref="A62:H62"/>
    <mergeCell ref="I62:BA62"/>
    <mergeCell ref="BB62:BT62"/>
    <mergeCell ref="BU62:CI62"/>
    <mergeCell ref="CJ62:CX62"/>
    <mergeCell ref="A63:H63"/>
    <mergeCell ref="I63:BA63"/>
    <mergeCell ref="BB63:BT63"/>
    <mergeCell ref="BU63:CI63"/>
    <mergeCell ref="CJ63:CX63"/>
    <mergeCell ref="A65:H65"/>
    <mergeCell ref="I65:BA65"/>
    <mergeCell ref="BB65:BT65"/>
    <mergeCell ref="BU65:CI65"/>
    <mergeCell ref="CJ65:CX65"/>
    <mergeCell ref="A66:H66"/>
    <mergeCell ref="I66:BA66"/>
    <mergeCell ref="BB66:BT66"/>
    <mergeCell ref="BU66:CI66"/>
    <mergeCell ref="CJ66:CX66"/>
    <mergeCell ref="A67:H67"/>
    <mergeCell ref="I67:BA67"/>
    <mergeCell ref="BB67:BT67"/>
    <mergeCell ref="BU67:CI67"/>
    <mergeCell ref="CJ67:CX67"/>
    <mergeCell ref="A68:H68"/>
    <mergeCell ref="I68:BA68"/>
    <mergeCell ref="BB68:BT68"/>
    <mergeCell ref="BU68:CI68"/>
    <mergeCell ref="CJ68:CX68"/>
    <mergeCell ref="A80:H80"/>
    <mergeCell ref="I80:BA80"/>
    <mergeCell ref="BB80:BT80"/>
    <mergeCell ref="BU80:CI80"/>
    <mergeCell ref="CJ80:CX80"/>
    <mergeCell ref="A84:H84"/>
    <mergeCell ref="I84:BA84"/>
    <mergeCell ref="BB84:BT84"/>
    <mergeCell ref="BU84:CI84"/>
    <mergeCell ref="CJ84:CX84"/>
    <mergeCell ref="A85:H85"/>
    <mergeCell ref="I85:BA85"/>
    <mergeCell ref="BB85:BT85"/>
    <mergeCell ref="BU85:CI85"/>
    <mergeCell ref="CJ85:CX85"/>
    <mergeCell ref="A86:H86"/>
    <mergeCell ref="I86:BA86"/>
    <mergeCell ref="BB86:BT86"/>
    <mergeCell ref="BU86:CI86"/>
    <mergeCell ref="CJ86:CX86"/>
    <mergeCell ref="A87:H87"/>
    <mergeCell ref="I87:BA87"/>
    <mergeCell ref="BB87:BT87"/>
    <mergeCell ref="BU87:CI87"/>
    <mergeCell ref="CJ87:CX87"/>
    <mergeCell ref="A88:H88"/>
    <mergeCell ref="I88:BA88"/>
    <mergeCell ref="BB88:BT88"/>
    <mergeCell ref="BU88:CI88"/>
    <mergeCell ref="CJ88:CX88"/>
    <mergeCell ref="A89:H89"/>
    <mergeCell ref="I89:BA89"/>
    <mergeCell ref="BB89:BT89"/>
    <mergeCell ref="BU89:CI89"/>
    <mergeCell ref="CJ89:CX89"/>
    <mergeCell ref="A90:H90"/>
    <mergeCell ref="I90:BA90"/>
    <mergeCell ref="BB90:BT90"/>
    <mergeCell ref="BU90:CI90"/>
    <mergeCell ref="CJ90:CX90"/>
    <mergeCell ref="A91:H91"/>
    <mergeCell ref="I91:BA91"/>
    <mergeCell ref="BB91:BT91"/>
    <mergeCell ref="BU91:CI91"/>
    <mergeCell ref="CJ91:CX91"/>
    <mergeCell ref="A92:H92"/>
    <mergeCell ref="I92:BA92"/>
    <mergeCell ref="BB92:BT92"/>
    <mergeCell ref="BU92:CI92"/>
    <mergeCell ref="CJ92:CX92"/>
    <mergeCell ref="A93:H93"/>
    <mergeCell ref="I93:BA93"/>
    <mergeCell ref="BB93:BT93"/>
    <mergeCell ref="BU93:CI93"/>
    <mergeCell ref="CJ93:CX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0">
      <pane ySplit="1650" topLeftCell="A1" activePane="bottomLeft" state="split"/>
      <selection pane="topLeft" activeCell="A10" sqref="A10"/>
      <selection pane="bottomLeft" activeCell="I45" sqref="I45"/>
    </sheetView>
  </sheetViews>
  <sheetFormatPr defaultColWidth="0" defaultRowHeight="12.75"/>
  <cols>
    <col min="1" max="1" width="1.75390625" style="12" customWidth="1"/>
    <col min="2" max="2" width="4.125" style="12" customWidth="1"/>
    <col min="3" max="3" width="55.75390625" style="12" customWidth="1"/>
    <col min="4" max="4" width="14.25390625" style="12" customWidth="1"/>
    <col min="5" max="5" width="10.00390625" style="12" customWidth="1"/>
    <col min="6" max="6" width="11.25390625" style="12" customWidth="1"/>
    <col min="7" max="7" width="12.00390625" style="12" bestFit="1" customWidth="1"/>
    <col min="8" max="8" width="10.25390625" style="12" customWidth="1"/>
    <col min="9" max="9" width="10.875" style="12" customWidth="1"/>
    <col min="10" max="10" width="11.375" style="12" hidden="1" customWidth="1"/>
    <col min="11" max="11" width="9.75390625" style="12" hidden="1" customWidth="1"/>
    <col min="12" max="12" width="12.625" style="12" hidden="1" customWidth="1"/>
    <col min="13" max="13" width="15.75390625" style="12" bestFit="1" customWidth="1"/>
    <col min="14" max="14" width="11.125" style="12" bestFit="1" customWidth="1"/>
    <col min="15" max="15" width="13.125" style="12" bestFit="1" customWidth="1"/>
    <col min="16" max="16" width="15.75390625" style="12" bestFit="1" customWidth="1"/>
    <col min="17" max="17" width="11.25390625" style="12" bestFit="1" customWidth="1"/>
    <col min="18" max="18" width="15.75390625" style="12" customWidth="1"/>
    <col min="19" max="19" width="12.625" style="12" customWidth="1"/>
    <col min="20" max="20" width="13.375" style="12" customWidth="1"/>
    <col min="21" max="21" width="14.00390625" style="12" customWidth="1"/>
    <col min="22" max="22" width="13.75390625" style="12" customWidth="1"/>
    <col min="23" max="23" width="9.25390625" style="12" bestFit="1" customWidth="1"/>
    <col min="24" max="24" width="9.125" style="12" customWidth="1"/>
    <col min="25" max="25" width="11.875" style="12" customWidth="1"/>
    <col min="26" max="238" width="9.125" style="12" customWidth="1"/>
    <col min="239" max="239" width="4.125" style="12" customWidth="1"/>
    <col min="240" max="240" width="27.00390625" style="12" customWidth="1"/>
    <col min="241" max="241" width="10.625" style="12" customWidth="1"/>
    <col min="242" max="242" width="0" style="12" hidden="1" customWidth="1"/>
    <col min="243" max="243" width="13.125" style="12" customWidth="1"/>
    <col min="244" max="244" width="8.375" style="12" customWidth="1"/>
    <col min="245" max="245" width="11.25390625" style="12" customWidth="1"/>
    <col min="246" max="246" width="0" style="12" hidden="1" customWidth="1"/>
    <col min="247" max="247" width="13.00390625" style="12" customWidth="1"/>
    <col min="248" max="248" width="8.25390625" style="12" customWidth="1"/>
    <col min="249" max="249" width="10.875" style="12" customWidth="1"/>
    <col min="250" max="250" width="0" style="12" hidden="1" customWidth="1"/>
    <col min="251" max="251" width="11.75390625" style="12" customWidth="1"/>
    <col min="252" max="252" width="8.25390625" style="12" customWidth="1"/>
    <col min="253" max="253" width="8.125" style="12" customWidth="1"/>
    <col min="254" max="254" width="14.875" style="12" customWidth="1"/>
    <col min="255" max="255" width="9.625" style="12" customWidth="1"/>
    <col min="256" max="16384" width="0" style="12" hidden="1" customWidth="1"/>
  </cols>
  <sheetData>
    <row r="1" spans="1:256" s="1" customFormat="1" ht="12.75">
      <c r="A1" s="12"/>
      <c r="B1" s="12"/>
      <c r="C1" s="12"/>
      <c r="D1" s="12"/>
      <c r="E1" s="12"/>
      <c r="F1" s="12"/>
      <c r="G1" s="12"/>
      <c r="H1" s="12"/>
      <c r="I1" s="12"/>
      <c r="J1" s="13" t="s">
        <v>2</v>
      </c>
      <c r="K1" s="14"/>
      <c r="L1" s="14"/>
      <c r="M1" s="12"/>
      <c r="N1" s="13"/>
      <c r="O1" s="12"/>
      <c r="P1" s="12"/>
      <c r="Q1" s="12"/>
      <c r="R1" s="15" t="s">
        <v>2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s="1" customFormat="1" ht="12.75">
      <c r="A2" s="12"/>
      <c r="B2" s="12"/>
      <c r="C2" s="12"/>
      <c r="D2" s="12"/>
      <c r="E2" s="12"/>
      <c r="F2" s="12"/>
      <c r="G2" s="12"/>
      <c r="H2" s="12"/>
      <c r="I2" s="12"/>
      <c r="J2" s="190" t="s">
        <v>0</v>
      </c>
      <c r="K2" s="190"/>
      <c r="L2" s="190"/>
      <c r="M2" s="12"/>
      <c r="N2" s="13"/>
      <c r="O2" s="12"/>
      <c r="P2" s="12"/>
      <c r="Q2" s="12"/>
      <c r="R2" s="16" t="s">
        <v>62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" customFormat="1" ht="16.5" customHeight="1">
      <c r="A3" s="12"/>
      <c r="B3" s="12"/>
      <c r="C3" s="12"/>
      <c r="D3" s="12"/>
      <c r="E3" s="12"/>
      <c r="F3" s="12"/>
      <c r="G3" s="12"/>
      <c r="H3" s="12"/>
      <c r="I3" s="12"/>
      <c r="J3" s="190"/>
      <c r="K3" s="190"/>
      <c r="L3" s="190"/>
      <c r="M3" s="12"/>
      <c r="N3" s="13"/>
      <c r="O3" s="12"/>
      <c r="P3" s="12"/>
      <c r="Q3" s="12"/>
      <c r="R3" s="16" t="s">
        <v>63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12.75">
      <c r="A4" s="12"/>
      <c r="B4" s="12"/>
      <c r="C4" s="12"/>
      <c r="D4" s="12"/>
      <c r="E4" s="12"/>
      <c r="F4" s="12"/>
      <c r="G4" s="12"/>
      <c r="H4" s="12"/>
      <c r="I4" s="12"/>
      <c r="J4" s="17" t="s">
        <v>9</v>
      </c>
      <c r="K4" s="14"/>
      <c r="L4" s="14"/>
      <c r="M4" s="12"/>
      <c r="N4" s="17"/>
      <c r="O4" s="12"/>
      <c r="P4" s="12"/>
      <c r="Q4" s="12"/>
      <c r="R4" s="15" t="s">
        <v>9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7" customFormat="1" ht="12.75">
      <c r="A5" s="12"/>
      <c r="B5" s="12"/>
      <c r="C5" s="12"/>
      <c r="D5" s="12"/>
      <c r="E5" s="12"/>
      <c r="F5" s="12"/>
      <c r="G5" s="12"/>
      <c r="H5" s="12"/>
      <c r="I5" s="12"/>
      <c r="J5" s="17" t="s">
        <v>10</v>
      </c>
      <c r="K5" s="14"/>
      <c r="L5" s="14"/>
      <c r="M5" s="12"/>
      <c r="N5" s="17"/>
      <c r="O5" s="12"/>
      <c r="P5" s="12"/>
      <c r="Q5" s="12"/>
      <c r="R5" s="16" t="s">
        <v>10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ht="18.75">
      <c r="A7" s="12"/>
      <c r="B7" s="191" t="s">
        <v>64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3" customFormat="1" ht="20.25" customHeight="1">
      <c r="A8" s="12"/>
      <c r="B8" s="191" t="s">
        <v>76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3" customFormat="1" ht="20.25" customHeight="1">
      <c r="A9" s="12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6" customFormat="1" ht="18.75" customHeight="1">
      <c r="A10" s="12"/>
      <c r="B10" s="188" t="s">
        <v>19</v>
      </c>
      <c r="C10" s="192" t="s">
        <v>11</v>
      </c>
      <c r="D10" s="184" t="s">
        <v>20</v>
      </c>
      <c r="E10" s="184"/>
      <c r="F10" s="184"/>
      <c r="G10" s="184" t="s">
        <v>65</v>
      </c>
      <c r="H10" s="184"/>
      <c r="I10" s="184"/>
      <c r="J10" s="185" t="s">
        <v>66</v>
      </c>
      <c r="K10" s="186"/>
      <c r="L10" s="187"/>
      <c r="M10" s="184" t="s">
        <v>67</v>
      </c>
      <c r="N10" s="184"/>
      <c r="O10" s="184"/>
      <c r="P10" s="184" t="s">
        <v>51</v>
      </c>
      <c r="Q10" s="184"/>
      <c r="R10" s="184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2:18" ht="51">
      <c r="B11" s="189"/>
      <c r="C11" s="193"/>
      <c r="D11" s="18" t="s">
        <v>68</v>
      </c>
      <c r="E11" s="18" t="s">
        <v>69</v>
      </c>
      <c r="F11" s="18" t="s">
        <v>70</v>
      </c>
      <c r="G11" s="18" t="s">
        <v>68</v>
      </c>
      <c r="H11" s="18" t="s">
        <v>69</v>
      </c>
      <c r="I11" s="18" t="s">
        <v>70</v>
      </c>
      <c r="J11" s="18" t="s">
        <v>68</v>
      </c>
      <c r="K11" s="18" t="s">
        <v>69</v>
      </c>
      <c r="L11" s="18" t="s">
        <v>70</v>
      </c>
      <c r="M11" s="18" t="s">
        <v>68</v>
      </c>
      <c r="N11" s="18" t="s">
        <v>69</v>
      </c>
      <c r="O11" s="18" t="s">
        <v>70</v>
      </c>
      <c r="P11" s="18" t="s">
        <v>68</v>
      </c>
      <c r="Q11" s="18" t="s">
        <v>69</v>
      </c>
      <c r="R11" s="18" t="s">
        <v>70</v>
      </c>
    </row>
    <row r="12" spans="1:256" s="8" customFormat="1" ht="30">
      <c r="A12" s="12"/>
      <c r="B12" s="181" t="s">
        <v>3</v>
      </c>
      <c r="C12" s="20" t="s">
        <v>71</v>
      </c>
      <c r="D12" s="21"/>
      <c r="E12" s="22"/>
      <c r="F12" s="21"/>
      <c r="G12" s="21"/>
      <c r="H12" s="22"/>
      <c r="I12" s="21"/>
      <c r="J12" s="21"/>
      <c r="K12" s="22"/>
      <c r="L12" s="21"/>
      <c r="M12" s="23"/>
      <c r="N12" s="23"/>
      <c r="O12" s="23"/>
      <c r="P12" s="23"/>
      <c r="Q12" s="23"/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9" customFormat="1" ht="15.75">
      <c r="A13" s="12"/>
      <c r="B13" s="182"/>
      <c r="C13" s="20" t="s">
        <v>12</v>
      </c>
      <c r="D13" s="24">
        <v>1799.16</v>
      </c>
      <c r="E13" s="25">
        <v>44</v>
      </c>
      <c r="F13" s="24">
        <f>IF(E13=0,0,D13/E13)</f>
        <v>40.89</v>
      </c>
      <c r="G13" s="24">
        <v>8178</v>
      </c>
      <c r="H13" s="25">
        <v>200</v>
      </c>
      <c r="I13" s="24">
        <f>IF(H13=0,0,G13/H13)</f>
        <v>40.89</v>
      </c>
      <c r="J13" s="24">
        <v>0</v>
      </c>
      <c r="K13" s="25"/>
      <c r="L13" s="24">
        <v>0</v>
      </c>
      <c r="M13" s="26">
        <v>2769</v>
      </c>
      <c r="N13" s="27">
        <v>300</v>
      </c>
      <c r="O13" s="26">
        <f>IF(N13=0,0,M13/N13)</f>
        <v>9.23</v>
      </c>
      <c r="P13" s="26">
        <v>4640</v>
      </c>
      <c r="Q13" s="27">
        <v>1000</v>
      </c>
      <c r="R13" s="26">
        <f>IF(Q13=0,0,P13/Q13)</f>
        <v>4.64</v>
      </c>
      <c r="S13" s="12"/>
      <c r="T13" s="28"/>
      <c r="U13" s="28"/>
      <c r="V13" s="28"/>
      <c r="W13" s="28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9" customFormat="1" ht="15.75">
      <c r="A14" s="12"/>
      <c r="B14" s="183"/>
      <c r="C14" s="20" t="s">
        <v>13</v>
      </c>
      <c r="D14" s="24">
        <f>D13</f>
        <v>1799.16</v>
      </c>
      <c r="E14" s="25">
        <f aca="true" t="shared" si="0" ref="E14:R14">E13</f>
        <v>44</v>
      </c>
      <c r="F14" s="24">
        <f t="shared" si="0"/>
        <v>40.89</v>
      </c>
      <c r="G14" s="24">
        <f t="shared" si="0"/>
        <v>8178</v>
      </c>
      <c r="H14" s="25">
        <f t="shared" si="0"/>
        <v>200</v>
      </c>
      <c r="I14" s="24">
        <f t="shared" si="0"/>
        <v>40.89</v>
      </c>
      <c r="J14" s="24">
        <f t="shared" si="0"/>
        <v>0</v>
      </c>
      <c r="K14" s="25">
        <f t="shared" si="0"/>
        <v>0</v>
      </c>
      <c r="L14" s="24">
        <f t="shared" si="0"/>
        <v>0</v>
      </c>
      <c r="M14" s="26">
        <f t="shared" si="0"/>
        <v>2769</v>
      </c>
      <c r="N14" s="27">
        <f t="shared" si="0"/>
        <v>300</v>
      </c>
      <c r="O14" s="26">
        <f t="shared" si="0"/>
        <v>9.23</v>
      </c>
      <c r="P14" s="26">
        <f t="shared" si="0"/>
        <v>4640</v>
      </c>
      <c r="Q14" s="27">
        <f t="shared" si="0"/>
        <v>1000</v>
      </c>
      <c r="R14" s="26">
        <f t="shared" si="0"/>
        <v>4.64</v>
      </c>
      <c r="S14" s="12"/>
      <c r="T14" s="28"/>
      <c r="U14" s="28"/>
      <c r="V14" s="28"/>
      <c r="W14" s="28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9" customFormat="1" ht="45.75" customHeight="1">
      <c r="A15" s="12"/>
      <c r="B15" s="30" t="s">
        <v>4</v>
      </c>
      <c r="C15" s="20" t="s">
        <v>72</v>
      </c>
      <c r="D15" s="24"/>
      <c r="E15" s="25"/>
      <c r="F15" s="24"/>
      <c r="G15" s="24"/>
      <c r="H15" s="25"/>
      <c r="I15" s="24"/>
      <c r="J15" s="24"/>
      <c r="K15" s="25"/>
      <c r="L15" s="24"/>
      <c r="M15" s="27"/>
      <c r="N15" s="27"/>
      <c r="O15" s="27"/>
      <c r="P15" s="27"/>
      <c r="Q15" s="27"/>
      <c r="R15" s="27"/>
      <c r="S15" s="12"/>
      <c r="T15" s="28"/>
      <c r="U15" s="28"/>
      <c r="V15" s="28"/>
      <c r="W15" s="28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9" customFormat="1" ht="48" customHeight="1">
      <c r="A16" s="12"/>
      <c r="B16" s="19" t="s">
        <v>5</v>
      </c>
      <c r="C16" s="20" t="s">
        <v>14</v>
      </c>
      <c r="D16" s="24"/>
      <c r="E16" s="25"/>
      <c r="F16" s="24"/>
      <c r="G16" s="24"/>
      <c r="H16" s="25"/>
      <c r="I16" s="24"/>
      <c r="J16" s="24"/>
      <c r="K16" s="25"/>
      <c r="L16" s="24"/>
      <c r="M16" s="27"/>
      <c r="N16" s="27"/>
      <c r="O16" s="27"/>
      <c r="P16" s="27"/>
      <c r="Q16" s="27"/>
      <c r="R16" s="27"/>
      <c r="S16" s="12"/>
      <c r="T16" s="28"/>
      <c r="U16" s="28"/>
      <c r="V16" s="28"/>
      <c r="W16" s="28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9" customFormat="1" ht="15.75">
      <c r="A17" s="12"/>
      <c r="B17" s="19" t="s">
        <v>73</v>
      </c>
      <c r="C17" s="144" t="s">
        <v>15</v>
      </c>
      <c r="D17" s="34"/>
      <c r="E17" s="48"/>
      <c r="F17" s="34"/>
      <c r="G17" s="34"/>
      <c r="H17" s="48"/>
      <c r="I17" s="34"/>
      <c r="J17" s="34"/>
      <c r="K17" s="48"/>
      <c r="L17" s="34"/>
      <c r="M17" s="49"/>
      <c r="N17" s="49"/>
      <c r="O17" s="27"/>
      <c r="P17" s="27"/>
      <c r="Q17" s="27"/>
      <c r="R17" s="27"/>
      <c r="S17" s="31"/>
      <c r="T17" s="28"/>
      <c r="U17" s="28"/>
      <c r="V17" s="28"/>
      <c r="W17" s="28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30">
      <c r="A18" s="12"/>
      <c r="B18" s="19"/>
      <c r="C18" s="50" t="s">
        <v>52</v>
      </c>
      <c r="D18" s="34"/>
      <c r="E18" s="48"/>
      <c r="F18" s="34"/>
      <c r="G18" s="34"/>
      <c r="H18" s="48"/>
      <c r="I18" s="34"/>
      <c r="J18" s="34"/>
      <c r="K18" s="48"/>
      <c r="L18" s="34"/>
      <c r="M18" s="51">
        <v>5293671</v>
      </c>
      <c r="N18" s="49">
        <v>300</v>
      </c>
      <c r="O18" s="54">
        <f aca="true" t="shared" si="1" ref="O18:O23">IF(N18=0,0,M18/N18)</f>
        <v>17645.57</v>
      </c>
      <c r="P18" s="51">
        <f>17645.57*1000</f>
        <v>17645570</v>
      </c>
      <c r="Q18" s="49">
        <v>1000</v>
      </c>
      <c r="R18" s="54">
        <f>IF(Q18=0,0,P18/Q18)</f>
        <v>17645.57</v>
      </c>
      <c r="S18" s="31"/>
      <c r="T18" s="28"/>
      <c r="U18" s="28"/>
      <c r="V18" s="28"/>
      <c r="W18" s="28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9" customFormat="1" ht="30">
      <c r="A19" s="12"/>
      <c r="B19" s="19"/>
      <c r="C19" s="50" t="s">
        <v>53</v>
      </c>
      <c r="D19" s="34"/>
      <c r="E19" s="48"/>
      <c r="F19" s="34"/>
      <c r="G19" s="34"/>
      <c r="H19" s="48"/>
      <c r="I19" s="34"/>
      <c r="J19" s="34"/>
      <c r="K19" s="48"/>
      <c r="L19" s="34"/>
      <c r="M19" s="51">
        <v>10020348</v>
      </c>
      <c r="N19" s="49">
        <v>300</v>
      </c>
      <c r="O19" s="54">
        <f t="shared" si="1"/>
        <v>33401.16</v>
      </c>
      <c r="P19" s="51">
        <v>33401160</v>
      </c>
      <c r="Q19" s="49">
        <v>1000</v>
      </c>
      <c r="R19" s="54">
        <f>IF(Q19=0,0,P19/Q19)</f>
        <v>33401.16</v>
      </c>
      <c r="S19" s="31"/>
      <c r="T19" s="28"/>
      <c r="U19" s="28"/>
      <c r="V19" s="28"/>
      <c r="W19" s="28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9" customFormat="1" ht="15.75">
      <c r="A20" s="12"/>
      <c r="B20" s="32" t="s">
        <v>74</v>
      </c>
      <c r="C20" s="143" t="s">
        <v>16</v>
      </c>
      <c r="D20" s="24"/>
      <c r="E20" s="25"/>
      <c r="F20" s="24"/>
      <c r="G20" s="24"/>
      <c r="H20" s="25"/>
      <c r="I20" s="24"/>
      <c r="J20" s="24"/>
      <c r="K20" s="25"/>
      <c r="L20" s="24"/>
      <c r="M20" s="26"/>
      <c r="N20" s="26"/>
      <c r="O20" s="52"/>
      <c r="P20" s="26"/>
      <c r="Q20" s="26"/>
      <c r="R20" s="26"/>
      <c r="S20" s="31"/>
      <c r="T20" s="28"/>
      <c r="U20" s="28"/>
      <c r="V20" s="28"/>
      <c r="W20" s="28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9" customFormat="1" ht="45">
      <c r="A21" s="12"/>
      <c r="B21" s="32"/>
      <c r="C21" s="56" t="s">
        <v>54</v>
      </c>
      <c r="D21" s="24"/>
      <c r="E21" s="25"/>
      <c r="F21" s="24"/>
      <c r="G21" s="24"/>
      <c r="H21" s="47"/>
      <c r="I21" s="24"/>
      <c r="J21" s="24"/>
      <c r="K21" s="25"/>
      <c r="L21" s="24"/>
      <c r="M21" s="54">
        <v>3441576</v>
      </c>
      <c r="N21" s="57">
        <v>300</v>
      </c>
      <c r="O21" s="54">
        <f t="shared" si="1"/>
        <v>11471.92</v>
      </c>
      <c r="P21" s="54">
        <v>11471920</v>
      </c>
      <c r="Q21" s="57">
        <v>1000</v>
      </c>
      <c r="R21" s="54">
        <f>IF(Q21=0,0,P21/Q21)</f>
        <v>11471.92</v>
      </c>
      <c r="S21" s="31"/>
      <c r="T21" s="28"/>
      <c r="U21" s="28"/>
      <c r="V21" s="28"/>
      <c r="W21" s="2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9" customFormat="1" ht="30">
      <c r="A22" s="12"/>
      <c r="B22" s="32"/>
      <c r="C22" s="56" t="s">
        <v>212</v>
      </c>
      <c r="D22" s="24"/>
      <c r="E22" s="25"/>
      <c r="F22" s="24"/>
      <c r="G22" s="24"/>
      <c r="H22" s="47"/>
      <c r="I22" s="24"/>
      <c r="J22" s="24"/>
      <c r="K22" s="25"/>
      <c r="L22" s="24"/>
      <c r="M22" s="54">
        <v>3277854</v>
      </c>
      <c r="N22" s="57">
        <v>300</v>
      </c>
      <c r="O22" s="54">
        <f t="shared" si="1"/>
        <v>10926.18</v>
      </c>
      <c r="P22" s="54">
        <v>10926180</v>
      </c>
      <c r="Q22" s="57">
        <v>1000</v>
      </c>
      <c r="R22" s="54">
        <f>IF(Q22=0,0,P22/Q22)</f>
        <v>10926.18</v>
      </c>
      <c r="S22" s="31"/>
      <c r="T22" s="28"/>
      <c r="U22" s="28"/>
      <c r="V22" s="28"/>
      <c r="W22" s="28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9" customFormat="1" ht="45">
      <c r="A23" s="12"/>
      <c r="B23" s="32"/>
      <c r="C23" s="56" t="s">
        <v>213</v>
      </c>
      <c r="D23" s="24"/>
      <c r="E23" s="25"/>
      <c r="F23" s="24"/>
      <c r="G23" s="24"/>
      <c r="H23" s="47"/>
      <c r="I23" s="24"/>
      <c r="J23" s="24"/>
      <c r="K23" s="25"/>
      <c r="L23" s="24"/>
      <c r="M23" s="54">
        <v>3618048</v>
      </c>
      <c r="N23" s="57">
        <v>300</v>
      </c>
      <c r="O23" s="54">
        <f t="shared" si="1"/>
        <v>12060.16</v>
      </c>
      <c r="P23" s="54">
        <v>12060160</v>
      </c>
      <c r="Q23" s="57">
        <v>1000</v>
      </c>
      <c r="R23" s="54">
        <f>IF(Q23=0,0,P23/Q23)</f>
        <v>12060.16</v>
      </c>
      <c r="S23" s="31"/>
      <c r="T23" s="28"/>
      <c r="U23" s="28"/>
      <c r="V23" s="28"/>
      <c r="W23" s="28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9" customFormat="1" ht="45">
      <c r="A24" s="12"/>
      <c r="B24" s="32"/>
      <c r="C24" s="56" t="s">
        <v>55</v>
      </c>
      <c r="D24" s="24"/>
      <c r="E24" s="25"/>
      <c r="F24" s="24"/>
      <c r="G24" s="24"/>
      <c r="H24" s="47"/>
      <c r="I24" s="24"/>
      <c r="J24" s="24"/>
      <c r="K24" s="25"/>
      <c r="L24" s="24"/>
      <c r="M24" s="54">
        <v>6402711</v>
      </c>
      <c r="N24" s="57">
        <v>300</v>
      </c>
      <c r="O24" s="54">
        <f>IF(N24=0,0,M24/N24)</f>
        <v>21342.37</v>
      </c>
      <c r="P24" s="54">
        <v>21342370</v>
      </c>
      <c r="Q24" s="57">
        <v>1000</v>
      </c>
      <c r="R24" s="54">
        <f>IF(Q24=0,0,P24/Q24)</f>
        <v>21342.37</v>
      </c>
      <c r="S24" s="31"/>
      <c r="T24" s="28"/>
      <c r="U24" s="28"/>
      <c r="V24" s="28"/>
      <c r="W24" s="28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9" customFormat="1" ht="15.75" customHeight="1">
      <c r="A25" s="12"/>
      <c r="B25" s="32" t="s">
        <v>75</v>
      </c>
      <c r="C25" s="143" t="s">
        <v>17</v>
      </c>
      <c r="D25" s="24"/>
      <c r="E25" s="25"/>
      <c r="F25" s="24"/>
      <c r="G25" s="24"/>
      <c r="H25" s="25"/>
      <c r="I25" s="24"/>
      <c r="J25" s="24"/>
      <c r="K25" s="25"/>
      <c r="L25" s="24"/>
      <c r="M25" s="26"/>
      <c r="N25" s="26"/>
      <c r="O25" s="52"/>
      <c r="P25" s="26"/>
      <c r="Q25" s="26"/>
      <c r="R25" s="26"/>
      <c r="S25" s="31"/>
      <c r="T25" s="28"/>
      <c r="U25" s="28"/>
      <c r="V25" s="28"/>
      <c r="W25" s="28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9" customFormat="1" ht="15.75" customHeight="1">
      <c r="A26" s="12"/>
      <c r="B26" s="32"/>
      <c r="C26" s="142" t="s">
        <v>85</v>
      </c>
      <c r="D26" s="24"/>
      <c r="E26" s="25"/>
      <c r="F26" s="24"/>
      <c r="G26" s="24"/>
      <c r="H26" s="25"/>
      <c r="I26" s="24"/>
      <c r="J26" s="24"/>
      <c r="K26" s="25"/>
      <c r="L26" s="24"/>
      <c r="M26" s="26"/>
      <c r="N26" s="26"/>
      <c r="O26" s="52"/>
      <c r="P26" s="26"/>
      <c r="Q26" s="26"/>
      <c r="R26" s="26"/>
      <c r="S26" s="31"/>
      <c r="T26" s="28"/>
      <c r="U26" s="28"/>
      <c r="V26" s="28"/>
      <c r="W26" s="28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9" customFormat="1" ht="15.75" customHeight="1">
      <c r="A27" s="12"/>
      <c r="B27" s="32"/>
      <c r="C27" s="55" t="s">
        <v>56</v>
      </c>
      <c r="D27" s="24"/>
      <c r="E27" s="25"/>
      <c r="F27" s="24"/>
      <c r="G27" s="24"/>
      <c r="H27" s="25"/>
      <c r="I27" s="24"/>
      <c r="J27" s="24"/>
      <c r="K27" s="25"/>
      <c r="L27" s="24"/>
      <c r="M27" s="26"/>
      <c r="N27" s="26"/>
      <c r="O27" s="59">
        <v>51550</v>
      </c>
      <c r="P27" s="26"/>
      <c r="Q27" s="26"/>
      <c r="R27" s="59">
        <v>51550</v>
      </c>
      <c r="S27" s="31"/>
      <c r="T27" s="28"/>
      <c r="U27" s="28"/>
      <c r="V27" s="28"/>
      <c r="W27" s="28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9" customFormat="1" ht="15.75" customHeight="1">
      <c r="A28" s="12"/>
      <c r="B28" s="32"/>
      <c r="C28" s="55" t="s">
        <v>57</v>
      </c>
      <c r="D28" s="24"/>
      <c r="E28" s="25"/>
      <c r="F28" s="24"/>
      <c r="G28" s="24"/>
      <c r="H28" s="25"/>
      <c r="I28" s="24"/>
      <c r="J28" s="24"/>
      <c r="K28" s="25"/>
      <c r="L28" s="24"/>
      <c r="M28" s="26"/>
      <c r="N28" s="26"/>
      <c r="O28" s="59">
        <v>18440</v>
      </c>
      <c r="P28" s="26"/>
      <c r="Q28" s="26"/>
      <c r="R28" s="59">
        <v>18440</v>
      </c>
      <c r="S28" s="31"/>
      <c r="T28" s="28"/>
      <c r="U28" s="28"/>
      <c r="V28" s="28"/>
      <c r="W28" s="28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9" customFormat="1" ht="15.75" customHeight="1">
      <c r="A29" s="12"/>
      <c r="B29" s="32"/>
      <c r="C29" s="55" t="s">
        <v>58</v>
      </c>
      <c r="D29" s="24"/>
      <c r="E29" s="25"/>
      <c r="F29" s="24"/>
      <c r="G29" s="24"/>
      <c r="H29" s="25"/>
      <c r="I29" s="24"/>
      <c r="J29" s="24"/>
      <c r="K29" s="25"/>
      <c r="L29" s="24"/>
      <c r="M29" s="26"/>
      <c r="N29" s="26"/>
      <c r="O29" s="59">
        <v>10220</v>
      </c>
      <c r="P29" s="26"/>
      <c r="Q29" s="26"/>
      <c r="R29" s="59">
        <v>10220</v>
      </c>
      <c r="S29" s="31"/>
      <c r="T29" s="28"/>
      <c r="U29" s="28"/>
      <c r="V29" s="28"/>
      <c r="W29" s="2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9" customFormat="1" ht="15.75" customHeight="1">
      <c r="A30" s="12"/>
      <c r="B30" s="32"/>
      <c r="C30" s="55" t="s">
        <v>59</v>
      </c>
      <c r="D30" s="24"/>
      <c r="E30" s="25"/>
      <c r="F30" s="24"/>
      <c r="G30" s="24"/>
      <c r="H30" s="25"/>
      <c r="I30" s="24"/>
      <c r="J30" s="24"/>
      <c r="K30" s="25"/>
      <c r="L30" s="24"/>
      <c r="M30" s="26"/>
      <c r="N30" s="26"/>
      <c r="O30" s="59">
        <v>20790</v>
      </c>
      <c r="P30" s="26"/>
      <c r="Q30" s="26"/>
      <c r="R30" s="59">
        <v>20790</v>
      </c>
      <c r="S30" s="31"/>
      <c r="T30" s="28"/>
      <c r="U30" s="28"/>
      <c r="V30" s="28"/>
      <c r="W30" s="28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9" customFormat="1" ht="15.75" customHeight="1">
      <c r="A31" s="12"/>
      <c r="B31" s="32"/>
      <c r="C31" s="55" t="s">
        <v>60</v>
      </c>
      <c r="D31" s="24"/>
      <c r="E31" s="25"/>
      <c r="F31" s="24"/>
      <c r="G31" s="24"/>
      <c r="H31" s="25"/>
      <c r="I31" s="24"/>
      <c r="J31" s="24"/>
      <c r="K31" s="25"/>
      <c r="L31" s="24"/>
      <c r="M31" s="26"/>
      <c r="N31" s="26"/>
      <c r="O31" s="59">
        <v>13190</v>
      </c>
      <c r="P31" s="26"/>
      <c r="Q31" s="26"/>
      <c r="R31" s="59">
        <v>13190</v>
      </c>
      <c r="S31" s="31"/>
      <c r="T31" s="28"/>
      <c r="U31" s="28"/>
      <c r="V31" s="28"/>
      <c r="W31" s="28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9" customFormat="1" ht="15.75" customHeight="1">
      <c r="A32" s="12"/>
      <c r="B32" s="32"/>
      <c r="C32" s="142" t="s">
        <v>86</v>
      </c>
      <c r="D32" s="24"/>
      <c r="E32" s="25"/>
      <c r="F32" s="24"/>
      <c r="G32" s="24"/>
      <c r="H32" s="25"/>
      <c r="I32" s="24"/>
      <c r="J32" s="24"/>
      <c r="K32" s="25"/>
      <c r="L32" s="24"/>
      <c r="M32" s="26"/>
      <c r="N32" s="26"/>
      <c r="O32" s="52"/>
      <c r="P32" s="26"/>
      <c r="Q32" s="26"/>
      <c r="R32" s="26"/>
      <c r="S32" s="31"/>
      <c r="T32" s="28"/>
      <c r="U32" s="28"/>
      <c r="V32" s="28"/>
      <c r="W32" s="28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9" customFormat="1" ht="15.75" customHeight="1">
      <c r="A33" s="12"/>
      <c r="B33" s="32"/>
      <c r="C33" s="55" t="s">
        <v>58</v>
      </c>
      <c r="D33" s="24"/>
      <c r="E33" s="25"/>
      <c r="F33" s="24"/>
      <c r="G33" s="24"/>
      <c r="H33" s="25"/>
      <c r="I33" s="24"/>
      <c r="J33" s="24"/>
      <c r="K33" s="25"/>
      <c r="L33" s="24"/>
      <c r="M33" s="26"/>
      <c r="N33" s="26"/>
      <c r="O33" s="59">
        <v>49750</v>
      </c>
      <c r="P33" s="26"/>
      <c r="Q33" s="26"/>
      <c r="R33" s="59">
        <v>49750</v>
      </c>
      <c r="S33" s="31"/>
      <c r="T33" s="28"/>
      <c r="U33" s="28"/>
      <c r="V33" s="28"/>
      <c r="W33" s="28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9" customFormat="1" ht="15.75" customHeight="1">
      <c r="A34" s="12"/>
      <c r="B34" s="32"/>
      <c r="C34" s="55" t="s">
        <v>59</v>
      </c>
      <c r="D34" s="24"/>
      <c r="E34" s="25"/>
      <c r="F34" s="24"/>
      <c r="G34" s="24"/>
      <c r="H34" s="25"/>
      <c r="I34" s="24"/>
      <c r="J34" s="24"/>
      <c r="K34" s="25"/>
      <c r="L34" s="24"/>
      <c r="M34" s="26"/>
      <c r="N34" s="26"/>
      <c r="O34" s="59">
        <v>32580</v>
      </c>
      <c r="P34" s="26"/>
      <c r="Q34" s="26"/>
      <c r="R34" s="59">
        <v>32580</v>
      </c>
      <c r="S34" s="31"/>
      <c r="T34" s="28"/>
      <c r="U34" s="28"/>
      <c r="V34" s="28"/>
      <c r="W34" s="2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9" customFormat="1" ht="15.75" customHeight="1">
      <c r="A35" s="12"/>
      <c r="B35" s="32"/>
      <c r="C35" s="55" t="s">
        <v>60</v>
      </c>
      <c r="D35" s="24"/>
      <c r="E35" s="25"/>
      <c r="F35" s="24"/>
      <c r="G35" s="24"/>
      <c r="H35" s="25"/>
      <c r="I35" s="24"/>
      <c r="J35" s="24"/>
      <c r="K35" s="25"/>
      <c r="L35" s="24"/>
      <c r="M35" s="26"/>
      <c r="N35" s="26"/>
      <c r="O35" s="59">
        <v>18670</v>
      </c>
      <c r="P35" s="26"/>
      <c r="Q35" s="26"/>
      <c r="R35" s="59">
        <v>18670</v>
      </c>
      <c r="S35" s="31"/>
      <c r="T35" s="28"/>
      <c r="U35" s="28"/>
      <c r="V35" s="28"/>
      <c r="W35" s="28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9" customFormat="1" ht="15.75" customHeight="1">
      <c r="A36" s="12"/>
      <c r="B36" s="32"/>
      <c r="C36" s="55" t="s">
        <v>84</v>
      </c>
      <c r="D36" s="24"/>
      <c r="E36" s="25"/>
      <c r="F36" s="24"/>
      <c r="G36" s="24"/>
      <c r="H36" s="25"/>
      <c r="I36" s="24"/>
      <c r="J36" s="24"/>
      <c r="K36" s="25"/>
      <c r="L36" s="24"/>
      <c r="M36" s="26"/>
      <c r="N36" s="26"/>
      <c r="O36" s="59">
        <v>17660</v>
      </c>
      <c r="P36" s="26"/>
      <c r="Q36" s="26"/>
      <c r="R36" s="59">
        <v>17660</v>
      </c>
      <c r="S36" s="31"/>
      <c r="T36" s="28"/>
      <c r="U36" s="28"/>
      <c r="V36" s="28"/>
      <c r="W36" s="2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9" customFormat="1" ht="33" customHeight="1">
      <c r="A37" s="12"/>
      <c r="B37" s="32" t="s">
        <v>78</v>
      </c>
      <c r="C37" s="58" t="s">
        <v>77</v>
      </c>
      <c r="D37" s="24"/>
      <c r="E37" s="25"/>
      <c r="F37" s="21"/>
      <c r="G37" s="24"/>
      <c r="H37" s="22"/>
      <c r="I37" s="21"/>
      <c r="J37" s="24"/>
      <c r="K37" s="25"/>
      <c r="L37" s="21"/>
      <c r="M37" s="26"/>
      <c r="N37" s="53"/>
      <c r="O37" s="53"/>
      <c r="P37" s="53"/>
      <c r="Q37" s="53"/>
      <c r="R37" s="53"/>
      <c r="S37" s="12"/>
      <c r="T37" s="33"/>
      <c r="U37" s="33"/>
      <c r="V37" s="33"/>
      <c r="W37" s="33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2:23" ht="30">
      <c r="B38" s="32" t="s">
        <v>80</v>
      </c>
      <c r="C38" s="58" t="s">
        <v>79</v>
      </c>
      <c r="D38" s="24"/>
      <c r="E38" s="25"/>
      <c r="F38" s="21"/>
      <c r="G38" s="24"/>
      <c r="H38" s="22"/>
      <c r="I38" s="21"/>
      <c r="J38" s="24"/>
      <c r="K38" s="22"/>
      <c r="L38" s="21"/>
      <c r="M38" s="26"/>
      <c r="N38" s="53"/>
      <c r="O38" s="53"/>
      <c r="P38" s="53"/>
      <c r="Q38" s="53"/>
      <c r="R38" s="53"/>
      <c r="T38" s="33"/>
      <c r="U38" s="33"/>
      <c r="V38" s="33"/>
      <c r="W38" s="33"/>
    </row>
    <row r="39" spans="2:23" ht="30">
      <c r="B39" s="181" t="s">
        <v>6</v>
      </c>
      <c r="C39" s="20" t="s">
        <v>82</v>
      </c>
      <c r="D39" s="24"/>
      <c r="E39" s="25"/>
      <c r="F39" s="24"/>
      <c r="G39" s="24"/>
      <c r="H39" s="25"/>
      <c r="I39" s="24"/>
      <c r="J39" s="24"/>
      <c r="K39" s="25"/>
      <c r="L39" s="24"/>
      <c r="M39" s="26"/>
      <c r="N39" s="26"/>
      <c r="O39" s="26"/>
      <c r="P39" s="26"/>
      <c r="Q39" s="26"/>
      <c r="R39" s="26"/>
      <c r="T39" s="33"/>
      <c r="U39" s="33"/>
      <c r="V39" s="33"/>
      <c r="W39" s="33"/>
    </row>
    <row r="40" spans="2:23" ht="15">
      <c r="B40" s="182"/>
      <c r="C40" s="20" t="s">
        <v>12</v>
      </c>
      <c r="D40" s="24">
        <v>6294.64</v>
      </c>
      <c r="E40" s="25">
        <f>E13</f>
        <v>44</v>
      </c>
      <c r="F40" s="24">
        <f>IF(E40=0,0,D40/E40)</f>
        <v>143.06</v>
      </c>
      <c r="G40" s="24">
        <v>28612</v>
      </c>
      <c r="H40" s="25">
        <f>H13</f>
        <v>200</v>
      </c>
      <c r="I40" s="24">
        <f>IF(H40=0,0,G40/H40)</f>
        <v>143.06</v>
      </c>
      <c r="J40" s="24"/>
      <c r="K40" s="25"/>
      <c r="L40" s="24"/>
      <c r="M40" s="26">
        <v>7500</v>
      </c>
      <c r="N40" s="26">
        <f>N13</f>
        <v>300</v>
      </c>
      <c r="O40" s="26">
        <f>IF(N40=0,0,M40/N40)</f>
        <v>25</v>
      </c>
      <c r="P40" s="26">
        <v>11220</v>
      </c>
      <c r="Q40" s="26">
        <f>Q13</f>
        <v>1000</v>
      </c>
      <c r="R40" s="26">
        <f>IF(Q40=0,0,P40/Q40)</f>
        <v>11.22</v>
      </c>
      <c r="T40" s="33"/>
      <c r="U40" s="33"/>
      <c r="V40" s="33"/>
      <c r="W40" s="33"/>
    </row>
    <row r="41" spans="2:23" ht="15">
      <c r="B41" s="183"/>
      <c r="C41" s="20" t="s">
        <v>13</v>
      </c>
      <c r="D41" s="24">
        <f aca="true" t="shared" si="2" ref="D41:M41">D40</f>
        <v>6294.64</v>
      </c>
      <c r="E41" s="25">
        <f t="shared" si="2"/>
        <v>44</v>
      </c>
      <c r="F41" s="24">
        <f t="shared" si="2"/>
        <v>143.06</v>
      </c>
      <c r="G41" s="24">
        <f t="shared" si="2"/>
        <v>28612</v>
      </c>
      <c r="H41" s="25">
        <f t="shared" si="2"/>
        <v>200</v>
      </c>
      <c r="I41" s="24">
        <f t="shared" si="2"/>
        <v>143.06</v>
      </c>
      <c r="J41" s="24">
        <f t="shared" si="2"/>
        <v>0</v>
      </c>
      <c r="K41" s="24">
        <f t="shared" si="2"/>
        <v>0</v>
      </c>
      <c r="L41" s="24">
        <f t="shared" si="2"/>
        <v>0</v>
      </c>
      <c r="M41" s="26">
        <f t="shared" si="2"/>
        <v>7500</v>
      </c>
      <c r="N41" s="26">
        <f>N40</f>
        <v>300</v>
      </c>
      <c r="O41" s="26">
        <f>IF(N41=0,0,M41/N41)</f>
        <v>25</v>
      </c>
      <c r="P41" s="26">
        <f>P40</f>
        <v>11220</v>
      </c>
      <c r="Q41" s="26">
        <f>Q40</f>
        <v>1000</v>
      </c>
      <c r="R41" s="26">
        <f>IF(Q41=0,0,P41/Q41)</f>
        <v>11.22</v>
      </c>
      <c r="T41" s="33"/>
      <c r="U41" s="33"/>
      <c r="V41" s="33"/>
      <c r="W41" s="33"/>
    </row>
    <row r="42" spans="2:23" ht="60">
      <c r="B42" s="181" t="s">
        <v>7</v>
      </c>
      <c r="C42" s="20" t="s">
        <v>81</v>
      </c>
      <c r="D42" s="24"/>
      <c r="E42" s="25"/>
      <c r="F42" s="24"/>
      <c r="G42" s="24"/>
      <c r="H42" s="29"/>
      <c r="I42" s="24"/>
      <c r="J42" s="24"/>
      <c r="K42" s="25"/>
      <c r="L42" s="24"/>
      <c r="M42" s="26"/>
      <c r="N42" s="26"/>
      <c r="O42" s="26"/>
      <c r="P42" s="26"/>
      <c r="Q42" s="26"/>
      <c r="R42" s="26"/>
      <c r="T42" s="33"/>
      <c r="U42" s="33"/>
      <c r="V42" s="33"/>
      <c r="W42" s="33"/>
    </row>
    <row r="43" spans="2:23" ht="15">
      <c r="B43" s="182"/>
      <c r="C43" s="20" t="s">
        <v>12</v>
      </c>
      <c r="D43" s="24">
        <v>0</v>
      </c>
      <c r="E43" s="25"/>
      <c r="F43" s="24"/>
      <c r="G43" s="24">
        <v>0</v>
      </c>
      <c r="H43" s="29"/>
      <c r="I43" s="24"/>
      <c r="J43" s="24"/>
      <c r="K43" s="25"/>
      <c r="L43" s="24"/>
      <c r="M43" s="26"/>
      <c r="N43" s="26"/>
      <c r="O43" s="26"/>
      <c r="P43" s="26"/>
      <c r="Q43" s="26"/>
      <c r="R43" s="26"/>
      <c r="T43" s="33"/>
      <c r="U43" s="33"/>
      <c r="V43" s="33"/>
      <c r="W43" s="33"/>
    </row>
    <row r="44" spans="2:23" ht="15">
      <c r="B44" s="183"/>
      <c r="C44" s="20" t="s">
        <v>13</v>
      </c>
      <c r="D44" s="24">
        <v>0</v>
      </c>
      <c r="E44" s="25"/>
      <c r="F44" s="24"/>
      <c r="G44" s="24">
        <v>0</v>
      </c>
      <c r="H44" s="29"/>
      <c r="I44" s="24"/>
      <c r="J44" s="24"/>
      <c r="K44" s="25"/>
      <c r="L44" s="24"/>
      <c r="M44" s="26"/>
      <c r="N44" s="26"/>
      <c r="O44" s="26"/>
      <c r="P44" s="26"/>
      <c r="Q44" s="26"/>
      <c r="R44" s="26"/>
      <c r="T44" s="33"/>
      <c r="U44" s="33"/>
      <c r="V44" s="33"/>
      <c r="W44" s="33"/>
    </row>
    <row r="45" spans="2:23" ht="90">
      <c r="B45" s="181" t="s">
        <v>8</v>
      </c>
      <c r="C45" s="20" t="s">
        <v>83</v>
      </c>
      <c r="D45" s="24"/>
      <c r="E45" s="25"/>
      <c r="F45" s="24"/>
      <c r="G45" s="24"/>
      <c r="H45" s="29"/>
      <c r="I45" s="24"/>
      <c r="J45" s="24"/>
      <c r="K45" s="25"/>
      <c r="L45" s="24"/>
      <c r="M45" s="26"/>
      <c r="N45" s="26"/>
      <c r="O45" s="26"/>
      <c r="P45" s="26"/>
      <c r="Q45" s="26"/>
      <c r="R45" s="26"/>
      <c r="T45" s="28"/>
      <c r="U45" s="28"/>
      <c r="V45" s="28"/>
      <c r="W45" s="28"/>
    </row>
    <row r="46" spans="2:23" ht="15">
      <c r="B46" s="182"/>
      <c r="C46" s="20" t="s">
        <v>12</v>
      </c>
      <c r="D46" s="24"/>
      <c r="E46" s="25"/>
      <c r="F46" s="24"/>
      <c r="G46" s="24"/>
      <c r="H46" s="25"/>
      <c r="I46" s="24"/>
      <c r="J46" s="24"/>
      <c r="K46" s="24"/>
      <c r="L46" s="24"/>
      <c r="M46" s="26"/>
      <c r="N46" s="26"/>
      <c r="O46" s="26"/>
      <c r="P46" s="26"/>
      <c r="Q46" s="26"/>
      <c r="R46" s="26"/>
      <c r="T46" s="28"/>
      <c r="U46" s="28"/>
      <c r="V46" s="28"/>
      <c r="W46" s="28"/>
    </row>
    <row r="47" spans="1:256" ht="18.75">
      <c r="A47" s="35"/>
      <c r="B47" s="183"/>
      <c r="C47" s="20" t="s">
        <v>13</v>
      </c>
      <c r="D47" s="24"/>
      <c r="E47" s="25"/>
      <c r="F47" s="24"/>
      <c r="G47" s="24"/>
      <c r="H47" s="25"/>
      <c r="I47" s="24"/>
      <c r="J47" s="24"/>
      <c r="K47" s="24"/>
      <c r="L47" s="24"/>
      <c r="M47" s="26"/>
      <c r="N47" s="26"/>
      <c r="O47" s="26"/>
      <c r="P47" s="26"/>
      <c r="Q47" s="26"/>
      <c r="R47" s="2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2:18" ht="15.75">
      <c r="B48" s="36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9"/>
      <c r="N48" s="39"/>
      <c r="O48" s="39"/>
      <c r="P48" s="39"/>
      <c r="Q48" s="39"/>
      <c r="R48" s="39"/>
    </row>
    <row r="49" spans="2:18" ht="12.75"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2:16" ht="12.75">
      <c r="B50" s="43"/>
      <c r="D50" s="44"/>
      <c r="E50" s="44"/>
      <c r="F50" s="44"/>
      <c r="G50" s="45"/>
      <c r="H50" s="44"/>
      <c r="I50" s="44"/>
      <c r="J50" s="44"/>
      <c r="K50" s="44"/>
      <c r="L50" s="44"/>
      <c r="M50" s="45"/>
      <c r="P50" s="45"/>
    </row>
    <row r="51" spans="4:12" ht="12.75">
      <c r="D51" s="44"/>
      <c r="E51" s="44"/>
      <c r="F51" s="44"/>
      <c r="G51" s="44"/>
      <c r="H51" s="44"/>
      <c r="I51" s="44"/>
      <c r="J51" s="44"/>
      <c r="K51" s="44"/>
      <c r="L51" s="44"/>
    </row>
    <row r="52" spans="4:12" ht="12.75">
      <c r="D52" s="44"/>
      <c r="E52" s="44"/>
      <c r="F52" s="44"/>
      <c r="G52" s="44"/>
      <c r="H52" s="44"/>
      <c r="I52" s="44"/>
      <c r="J52" s="44"/>
      <c r="K52" s="44"/>
      <c r="L52" s="44"/>
    </row>
  </sheetData>
  <sheetProtection/>
  <mergeCells count="14">
    <mergeCell ref="J10:L10"/>
    <mergeCell ref="M10:O10"/>
    <mergeCell ref="P10:R10"/>
    <mergeCell ref="B10:B11"/>
    <mergeCell ref="J2:L3"/>
    <mergeCell ref="B7:R7"/>
    <mergeCell ref="B8:R8"/>
    <mergeCell ref="C10:C11"/>
    <mergeCell ref="B39:B41"/>
    <mergeCell ref="B42:B44"/>
    <mergeCell ref="B45:B47"/>
    <mergeCell ref="B12:B14"/>
    <mergeCell ref="D10:F10"/>
    <mergeCell ref="G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F32" sqref="F32:K32"/>
    </sheetView>
  </sheetViews>
  <sheetFormatPr defaultColWidth="9.00390625" defaultRowHeight="12.75"/>
  <cols>
    <col min="1" max="1" width="2.00390625" style="0" customWidth="1"/>
    <col min="2" max="2" width="6.75390625" style="0" customWidth="1"/>
    <col min="3" max="3" width="53.875" style="0" customWidth="1"/>
    <col min="4" max="4" width="12.00390625" style="0" customWidth="1"/>
    <col min="5" max="5" width="14.00390625" style="0" customWidth="1"/>
    <col min="6" max="6" width="12.875" style="0" customWidth="1"/>
    <col min="7" max="7" width="13.75390625" style="0" customWidth="1"/>
    <col min="8" max="8" width="12.125" style="0" customWidth="1"/>
    <col min="9" max="9" width="12.625" style="0" customWidth="1"/>
    <col min="10" max="10" width="11.25390625" style="0" customWidth="1"/>
    <col min="11" max="11" width="12.125" style="0" customWidth="1"/>
  </cols>
  <sheetData>
    <row r="1" spans="9:11" ht="12.75">
      <c r="I1" s="13"/>
      <c r="J1" s="13"/>
      <c r="K1" s="15" t="s">
        <v>87</v>
      </c>
    </row>
    <row r="2" spans="9:11" ht="12.75">
      <c r="I2" s="60"/>
      <c r="J2" s="60"/>
      <c r="K2" s="16" t="s">
        <v>62</v>
      </c>
    </row>
    <row r="3" spans="9:11" ht="12.75">
      <c r="I3" s="60"/>
      <c r="J3" s="60"/>
      <c r="K3" s="16" t="s">
        <v>63</v>
      </c>
    </row>
    <row r="4" spans="9:11" ht="12.75">
      <c r="I4" s="17"/>
      <c r="J4" s="17"/>
      <c r="K4" s="15" t="s">
        <v>9</v>
      </c>
    </row>
    <row r="5" spans="9:11" ht="12.75">
      <c r="I5" s="17"/>
      <c r="J5" s="17"/>
      <c r="K5" s="16" t="s">
        <v>10</v>
      </c>
    </row>
    <row r="6" ht="15.75">
      <c r="I6" s="10"/>
    </row>
    <row r="7" spans="2:11" ht="21.75" customHeight="1">
      <c r="B7" s="197" t="s">
        <v>135</v>
      </c>
      <c r="C7" s="197"/>
      <c r="D7" s="197"/>
      <c r="E7" s="197"/>
      <c r="F7" s="197"/>
      <c r="G7" s="197"/>
      <c r="H7" s="197"/>
      <c r="I7" s="197"/>
      <c r="J7" s="197"/>
      <c r="K7" s="197"/>
    </row>
    <row r="8" spans="2:11" ht="21.75" customHeight="1">
      <c r="B8" s="198" t="s">
        <v>134</v>
      </c>
      <c r="C8" s="198"/>
      <c r="D8" s="198"/>
      <c r="E8" s="198"/>
      <c r="F8" s="198"/>
      <c r="G8" s="198"/>
      <c r="H8" s="198"/>
      <c r="I8" s="198"/>
      <c r="J8" s="198"/>
      <c r="K8" s="198"/>
    </row>
    <row r="9" spans="2:11" ht="12.75">
      <c r="B9" s="61">
        <v>123</v>
      </c>
      <c r="C9" s="62"/>
      <c r="D9" s="62"/>
      <c r="E9" s="62"/>
      <c r="F9" s="62"/>
      <c r="G9" s="62"/>
      <c r="H9" s="62"/>
      <c r="I9" s="63"/>
      <c r="J9" s="62"/>
      <c r="K9" s="63" t="s">
        <v>91</v>
      </c>
    </row>
    <row r="10" spans="2:11" s="80" customFormat="1" ht="63.75">
      <c r="B10" s="199" t="s">
        <v>19</v>
      </c>
      <c r="C10" s="201" t="s">
        <v>88</v>
      </c>
      <c r="D10" s="81" t="s">
        <v>92</v>
      </c>
      <c r="E10" s="81" t="s">
        <v>93</v>
      </c>
      <c r="F10" s="81" t="s">
        <v>92</v>
      </c>
      <c r="G10" s="81" t="s">
        <v>93</v>
      </c>
      <c r="H10" s="81" t="s">
        <v>92</v>
      </c>
      <c r="I10" s="81" t="s">
        <v>93</v>
      </c>
      <c r="J10" s="81" t="s">
        <v>92</v>
      </c>
      <c r="K10" s="81" t="s">
        <v>93</v>
      </c>
    </row>
    <row r="11" spans="2:11" ht="19.5" customHeight="1">
      <c r="B11" s="200"/>
      <c r="C11" s="201"/>
      <c r="D11" s="194" t="s">
        <v>20</v>
      </c>
      <c r="E11" s="195"/>
      <c r="F11" s="194" t="s">
        <v>94</v>
      </c>
      <c r="G11" s="195"/>
      <c r="H11" s="194" t="s">
        <v>95</v>
      </c>
      <c r="I11" s="195"/>
      <c r="J11" s="194" t="s">
        <v>95</v>
      </c>
      <c r="K11" s="195"/>
    </row>
    <row r="12" spans="2:11" s="64" customFormat="1" ht="11.25">
      <c r="B12" s="65">
        <v>1</v>
      </c>
      <c r="C12" s="66">
        <v>2</v>
      </c>
      <c r="D12" s="66">
        <v>3</v>
      </c>
      <c r="E12" s="66">
        <v>4</v>
      </c>
      <c r="F12" s="66">
        <v>5</v>
      </c>
      <c r="G12" s="66">
        <v>6</v>
      </c>
      <c r="H12" s="66">
        <v>7</v>
      </c>
      <c r="I12" s="66">
        <v>8</v>
      </c>
      <c r="J12" s="66">
        <v>7</v>
      </c>
      <c r="K12" s="66">
        <v>8</v>
      </c>
    </row>
    <row r="13" spans="2:11" s="84" customFormat="1" ht="28.5">
      <c r="B13" s="68" t="s">
        <v>96</v>
      </c>
      <c r="C13" s="69" t="s">
        <v>97</v>
      </c>
      <c r="D13" s="82">
        <f>D14+D16+D17+D27</f>
        <v>0</v>
      </c>
      <c r="E13" s="83">
        <f>E14+E16+E17+E27+E18</f>
        <v>98.6909</v>
      </c>
      <c r="F13" s="83">
        <f>F14+F16+F17+F27</f>
        <v>0</v>
      </c>
      <c r="G13" s="83">
        <f>G14+G16+G17+G27+G18</f>
        <v>16.85999999554</v>
      </c>
      <c r="H13" s="83">
        <f>H14+H16+H17+H27</f>
        <v>0</v>
      </c>
      <c r="I13" s="83">
        <f>I14+I16+I17+I27+I18</f>
        <v>11.40121714</v>
      </c>
      <c r="J13" s="83">
        <f>J14+J16+J17+J27</f>
        <v>0</v>
      </c>
      <c r="K13" s="83">
        <f>K14+K16+K17+K27+K18</f>
        <v>13.487089829999999</v>
      </c>
    </row>
    <row r="14" spans="2:11" s="67" customFormat="1" ht="15">
      <c r="B14" s="70" t="s">
        <v>98</v>
      </c>
      <c r="C14" s="71" t="s">
        <v>99</v>
      </c>
      <c r="D14" s="72"/>
      <c r="E14" s="73">
        <f>10.018</f>
        <v>10.018</v>
      </c>
      <c r="F14" s="73"/>
      <c r="G14" s="73">
        <v>1.821</v>
      </c>
      <c r="H14" s="73"/>
      <c r="I14" s="73">
        <v>0.911</v>
      </c>
      <c r="J14" s="73"/>
      <c r="K14" s="73">
        <v>0.911</v>
      </c>
    </row>
    <row r="15" spans="2:11" s="67" customFormat="1" ht="15">
      <c r="B15" s="70" t="s">
        <v>100</v>
      </c>
      <c r="C15" s="71" t="s">
        <v>101</v>
      </c>
      <c r="D15" s="72"/>
      <c r="E15" s="73"/>
      <c r="F15" s="73"/>
      <c r="G15" s="73"/>
      <c r="H15" s="73"/>
      <c r="I15" s="72"/>
      <c r="J15" s="73"/>
      <c r="K15" s="72"/>
    </row>
    <row r="16" spans="2:11" s="67" customFormat="1" ht="15">
      <c r="B16" s="70" t="s">
        <v>102</v>
      </c>
      <c r="C16" s="71" t="s">
        <v>145</v>
      </c>
      <c r="D16" s="72"/>
      <c r="E16" s="73">
        <v>49.78</v>
      </c>
      <c r="F16" s="73"/>
      <c r="G16" s="73">
        <v>11.66718386</v>
      </c>
      <c r="H16" s="73"/>
      <c r="I16" s="73">
        <v>8.13826</v>
      </c>
      <c r="J16" s="73"/>
      <c r="K16" s="73">
        <v>9.75647</v>
      </c>
    </row>
    <row r="17" spans="2:11" s="67" customFormat="1" ht="15">
      <c r="B17" s="70" t="s">
        <v>103</v>
      </c>
      <c r="C17" s="71" t="s">
        <v>104</v>
      </c>
      <c r="D17" s="72"/>
      <c r="E17" s="73">
        <v>14.644</v>
      </c>
      <c r="F17" s="73"/>
      <c r="G17" s="73">
        <f>G16*0.289</f>
        <v>3.3718161355399996</v>
      </c>
      <c r="H17" s="73"/>
      <c r="I17" s="73">
        <f>I16*0.289</f>
        <v>2.35195714</v>
      </c>
      <c r="J17" s="73"/>
      <c r="K17" s="73">
        <f>K16*0.289</f>
        <v>2.8196198299999997</v>
      </c>
    </row>
    <row r="18" spans="2:11" s="67" customFormat="1" ht="15">
      <c r="B18" s="70" t="s">
        <v>105</v>
      </c>
      <c r="C18" s="71" t="s">
        <v>146</v>
      </c>
      <c r="D18" s="72">
        <f aca="true" t="shared" si="0" ref="D18:I18">SUM(D19:D21)</f>
        <v>0</v>
      </c>
      <c r="E18" s="73">
        <f t="shared" si="0"/>
        <v>24.2489</v>
      </c>
      <c r="F18" s="73">
        <f t="shared" si="0"/>
        <v>0</v>
      </c>
      <c r="G18" s="73">
        <f t="shared" si="0"/>
        <v>0</v>
      </c>
      <c r="H18" s="73">
        <f t="shared" si="0"/>
        <v>0</v>
      </c>
      <c r="I18" s="73">
        <f t="shared" si="0"/>
        <v>0</v>
      </c>
      <c r="J18" s="73">
        <f>SUM(J19:J21)</f>
        <v>0</v>
      </c>
      <c r="K18" s="73">
        <f>SUM(K19:K21)</f>
        <v>0</v>
      </c>
    </row>
    <row r="19" spans="2:11" s="67" customFormat="1" ht="15">
      <c r="B19" s="70" t="s">
        <v>106</v>
      </c>
      <c r="C19" s="71" t="s">
        <v>107</v>
      </c>
      <c r="D19" s="72"/>
      <c r="E19" s="73">
        <f>22.869+1.3799</f>
        <v>24.2489</v>
      </c>
      <c r="F19" s="73"/>
      <c r="G19" s="73">
        <v>0</v>
      </c>
      <c r="H19" s="73"/>
      <c r="I19" s="73">
        <v>0</v>
      </c>
      <c r="J19" s="73"/>
      <c r="K19" s="73">
        <v>0</v>
      </c>
    </row>
    <row r="20" spans="2:11" s="67" customFormat="1" ht="32.25" customHeight="1">
      <c r="B20" s="70" t="s">
        <v>108</v>
      </c>
      <c r="C20" s="71" t="s">
        <v>109</v>
      </c>
      <c r="D20" s="72"/>
      <c r="E20" s="73"/>
      <c r="F20" s="73"/>
      <c r="G20" s="73"/>
      <c r="H20" s="73"/>
      <c r="I20" s="73"/>
      <c r="J20" s="73"/>
      <c r="K20" s="73"/>
    </row>
    <row r="21" spans="2:11" s="67" customFormat="1" ht="20.25" customHeight="1">
      <c r="B21" s="70" t="s">
        <v>110</v>
      </c>
      <c r="C21" s="71" t="s">
        <v>111</v>
      </c>
      <c r="D21" s="21">
        <f aca="true" t="shared" si="1" ref="D21:I21">SUM(D22:D26)</f>
        <v>0</v>
      </c>
      <c r="E21" s="73">
        <f t="shared" si="1"/>
        <v>0</v>
      </c>
      <c r="F21" s="73">
        <f t="shared" si="1"/>
        <v>0</v>
      </c>
      <c r="G21" s="73">
        <f t="shared" si="1"/>
        <v>0</v>
      </c>
      <c r="H21" s="73">
        <f t="shared" si="1"/>
        <v>0</v>
      </c>
      <c r="I21" s="73">
        <f t="shared" si="1"/>
        <v>0</v>
      </c>
      <c r="J21" s="73">
        <f>SUM(J22:J26)</f>
        <v>0</v>
      </c>
      <c r="K21" s="73">
        <f>SUM(K22:K26)</f>
        <v>0</v>
      </c>
    </row>
    <row r="22" spans="2:11" s="67" customFormat="1" ht="15">
      <c r="B22" s="70" t="s">
        <v>112</v>
      </c>
      <c r="C22" s="74" t="s">
        <v>89</v>
      </c>
      <c r="D22" s="21"/>
      <c r="E22" s="73"/>
      <c r="F22" s="73"/>
      <c r="G22" s="73"/>
      <c r="H22" s="73"/>
      <c r="I22" s="73"/>
      <c r="J22" s="73"/>
      <c r="K22" s="73"/>
    </row>
    <row r="23" spans="2:11" s="67" customFormat="1" ht="15">
      <c r="B23" s="70" t="s">
        <v>113</v>
      </c>
      <c r="C23" s="74" t="s">
        <v>114</v>
      </c>
      <c r="D23" s="21"/>
      <c r="E23" s="73"/>
      <c r="F23" s="73"/>
      <c r="G23" s="73"/>
      <c r="H23" s="73"/>
      <c r="I23" s="73"/>
      <c r="J23" s="73"/>
      <c r="K23" s="73"/>
    </row>
    <row r="24" spans="2:11" s="67" customFormat="1" ht="30">
      <c r="B24" s="70" t="s">
        <v>115</v>
      </c>
      <c r="C24" s="74" t="s">
        <v>116</v>
      </c>
      <c r="D24" s="21"/>
      <c r="E24" s="73"/>
      <c r="F24" s="73"/>
      <c r="G24" s="73"/>
      <c r="H24" s="73"/>
      <c r="I24" s="73"/>
      <c r="J24" s="73"/>
      <c r="K24" s="73"/>
    </row>
    <row r="25" spans="2:11" s="67" customFormat="1" ht="15">
      <c r="B25" s="70" t="s">
        <v>117</v>
      </c>
      <c r="C25" s="74" t="s">
        <v>147</v>
      </c>
      <c r="D25" s="21"/>
      <c r="E25" s="73"/>
      <c r="F25" s="73"/>
      <c r="G25" s="73"/>
      <c r="H25" s="73"/>
      <c r="I25" s="73"/>
      <c r="J25" s="73"/>
      <c r="K25" s="73"/>
    </row>
    <row r="26" spans="2:11" s="67" customFormat="1" ht="30">
      <c r="B26" s="70" t="s">
        <v>118</v>
      </c>
      <c r="C26" s="74" t="s">
        <v>90</v>
      </c>
      <c r="D26" s="21"/>
      <c r="E26" s="73"/>
      <c r="F26" s="73"/>
      <c r="G26" s="73"/>
      <c r="H26" s="73"/>
      <c r="I26" s="73"/>
      <c r="J26" s="73"/>
      <c r="K26" s="73"/>
    </row>
    <row r="27" spans="2:11" s="67" customFormat="1" ht="15">
      <c r="B27" s="70" t="s">
        <v>119</v>
      </c>
      <c r="C27" s="71" t="s">
        <v>120</v>
      </c>
      <c r="D27" s="21"/>
      <c r="E27" s="73">
        <f>SUM(E28:E30)</f>
        <v>0</v>
      </c>
      <c r="F27" s="73"/>
      <c r="G27" s="73">
        <f>SUM(G28:G30)</f>
        <v>0</v>
      </c>
      <c r="H27" s="73"/>
      <c r="I27" s="73">
        <f>SUM(I28:I30)</f>
        <v>0</v>
      </c>
      <c r="J27" s="73"/>
      <c r="K27" s="73">
        <f>SUM(K28:K30)</f>
        <v>0</v>
      </c>
    </row>
    <row r="28" spans="2:11" s="67" customFormat="1" ht="15">
      <c r="B28" s="70" t="s">
        <v>121</v>
      </c>
      <c r="C28" s="71" t="s">
        <v>122</v>
      </c>
      <c r="D28" s="21"/>
      <c r="E28" s="73"/>
      <c r="F28" s="73"/>
      <c r="G28" s="73"/>
      <c r="H28" s="73"/>
      <c r="I28" s="73"/>
      <c r="J28" s="73"/>
      <c r="K28" s="73"/>
    </row>
    <row r="29" spans="2:11" s="67" customFormat="1" ht="15">
      <c r="B29" s="70" t="s">
        <v>123</v>
      </c>
      <c r="C29" s="71" t="s">
        <v>124</v>
      </c>
      <c r="D29" s="21"/>
      <c r="E29" s="21"/>
      <c r="F29" s="21"/>
      <c r="G29" s="73"/>
      <c r="H29" s="73"/>
      <c r="I29" s="21"/>
      <c r="J29" s="73"/>
      <c r="K29" s="21"/>
    </row>
    <row r="30" spans="2:11" s="67" customFormat="1" ht="15">
      <c r="B30" s="70" t="s">
        <v>125</v>
      </c>
      <c r="C30" s="71" t="s">
        <v>126</v>
      </c>
      <c r="D30" s="72"/>
      <c r="E30" s="72"/>
      <c r="F30" s="72"/>
      <c r="G30" s="73"/>
      <c r="H30" s="73"/>
      <c r="I30" s="72"/>
      <c r="J30" s="73"/>
      <c r="K30" s="72"/>
    </row>
    <row r="31" spans="2:11" s="67" customFormat="1" ht="30">
      <c r="B31" s="70" t="s">
        <v>127</v>
      </c>
      <c r="C31" s="71" t="s">
        <v>128</v>
      </c>
      <c r="D31" s="72"/>
      <c r="E31" s="73">
        <v>2.618</v>
      </c>
      <c r="F31" s="72"/>
      <c r="G31" s="73">
        <v>0.73</v>
      </c>
      <c r="H31" s="73"/>
      <c r="I31" s="73">
        <v>0</v>
      </c>
      <c r="J31" s="73"/>
      <c r="K31" s="73">
        <v>0</v>
      </c>
    </row>
    <row r="32" spans="2:11" s="67" customFormat="1" ht="83.25" customHeight="1">
      <c r="B32" s="75" t="s">
        <v>129</v>
      </c>
      <c r="C32" s="76" t="s">
        <v>130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s="67" customFormat="1" ht="6.75" customHeight="1">
      <c r="B33" s="77"/>
      <c r="C33" s="78"/>
      <c r="D33" s="21"/>
      <c r="E33" s="21"/>
      <c r="F33" s="21"/>
      <c r="G33" s="73"/>
      <c r="H33" s="73"/>
      <c r="I33" s="21"/>
      <c r="J33" s="73"/>
      <c r="K33" s="21"/>
    </row>
    <row r="34" spans="2:11" s="67" customFormat="1" ht="27" customHeight="1">
      <c r="B34" s="75" t="s">
        <v>131</v>
      </c>
      <c r="C34" s="76" t="s">
        <v>132</v>
      </c>
      <c r="D34" s="21"/>
      <c r="E34" s="21"/>
      <c r="F34" s="21"/>
      <c r="G34" s="73"/>
      <c r="H34" s="73"/>
      <c r="I34" s="21"/>
      <c r="J34" s="73"/>
      <c r="K34" s="21"/>
    </row>
    <row r="35" spans="2:11" s="67" customFormat="1" ht="8.25" customHeight="1">
      <c r="B35" s="77"/>
      <c r="C35" s="78"/>
      <c r="D35" s="21"/>
      <c r="E35" s="21"/>
      <c r="F35" s="21"/>
      <c r="G35" s="73"/>
      <c r="H35" s="73"/>
      <c r="I35" s="21"/>
      <c r="J35" s="73"/>
      <c r="K35" s="21"/>
    </row>
    <row r="36" spans="2:11" s="84" customFormat="1" ht="30.75" customHeight="1">
      <c r="B36" s="75" t="s">
        <v>133</v>
      </c>
      <c r="C36" s="76" t="s">
        <v>148</v>
      </c>
      <c r="D36" s="85">
        <f aca="true" t="shared" si="2" ref="D36:I36">D13+D32</f>
        <v>0</v>
      </c>
      <c r="E36" s="86">
        <f t="shared" si="2"/>
        <v>98.6909</v>
      </c>
      <c r="F36" s="86">
        <f t="shared" si="2"/>
        <v>0</v>
      </c>
      <c r="G36" s="86">
        <f t="shared" si="2"/>
        <v>16.85999999554</v>
      </c>
      <c r="H36" s="86">
        <f t="shared" si="2"/>
        <v>0</v>
      </c>
      <c r="I36" s="86">
        <f t="shared" si="2"/>
        <v>11.40121714</v>
      </c>
      <c r="J36" s="86">
        <f>J13+J32</f>
        <v>0</v>
      </c>
      <c r="K36" s="86">
        <f>K13+K32</f>
        <v>13.487089829999999</v>
      </c>
    </row>
    <row r="39" ht="12.75">
      <c r="G39" s="145"/>
    </row>
    <row r="40" spans="2:9" ht="15.75">
      <c r="B40" s="196"/>
      <c r="C40" s="196"/>
      <c r="D40" s="196"/>
      <c r="E40" s="196"/>
      <c r="F40" s="196"/>
      <c r="G40" s="196"/>
      <c r="H40" s="196"/>
      <c r="I40" s="196"/>
    </row>
    <row r="45" ht="12.75">
      <c r="B45" s="79"/>
    </row>
    <row r="46" ht="12.75">
      <c r="B46" s="79"/>
    </row>
  </sheetData>
  <sheetProtection/>
  <mergeCells count="9">
    <mergeCell ref="J11:K11"/>
    <mergeCell ref="B7:K7"/>
    <mergeCell ref="B8:K8"/>
    <mergeCell ref="D11:E11"/>
    <mergeCell ref="F11:G11"/>
    <mergeCell ref="H11:I11"/>
    <mergeCell ref="B40:I40"/>
    <mergeCell ref="B10:B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58.75390625" style="0" customWidth="1"/>
    <col min="4" max="4" width="21.875" style="0" customWidth="1"/>
    <col min="5" max="5" width="20.75390625" style="0" customWidth="1"/>
  </cols>
  <sheetData>
    <row r="1" spans="4:5" ht="12.75">
      <c r="D1" s="87"/>
      <c r="E1" s="15" t="s">
        <v>142</v>
      </c>
    </row>
    <row r="2" spans="4:5" ht="12.75">
      <c r="D2" s="88"/>
      <c r="E2" s="16" t="s">
        <v>62</v>
      </c>
    </row>
    <row r="3" spans="4:5" ht="12.75">
      <c r="D3" s="88"/>
      <c r="E3" s="16" t="s">
        <v>63</v>
      </c>
    </row>
    <row r="4" spans="4:5" ht="12.75">
      <c r="D4" s="89"/>
      <c r="E4" s="15" t="s">
        <v>9</v>
      </c>
    </row>
    <row r="5" spans="4:5" ht="12.75">
      <c r="D5" s="89"/>
      <c r="E5" s="16" t="s">
        <v>10</v>
      </c>
    </row>
    <row r="7" spans="2:5" ht="18.75">
      <c r="B7" s="202" t="s">
        <v>136</v>
      </c>
      <c r="C7" s="202"/>
      <c r="D7" s="202"/>
      <c r="E7" s="202"/>
    </row>
    <row r="8" spans="2:5" ht="18.75">
      <c r="B8" s="202" t="s">
        <v>137</v>
      </c>
      <c r="C8" s="202"/>
      <c r="D8" s="202"/>
      <c r="E8" s="202"/>
    </row>
    <row r="9" spans="2:5" ht="18.75">
      <c r="B9" s="202" t="s">
        <v>138</v>
      </c>
      <c r="C9" s="202"/>
      <c r="D9" s="202"/>
      <c r="E9" s="202"/>
    </row>
    <row r="10" spans="2:5" ht="18.75">
      <c r="B10" s="202" t="s">
        <v>21</v>
      </c>
      <c r="C10" s="202"/>
      <c r="D10" s="202"/>
      <c r="E10" s="202"/>
    </row>
    <row r="11" spans="2:5" ht="18.75">
      <c r="B11" s="90"/>
      <c r="C11" s="90"/>
      <c r="D11" s="90"/>
      <c r="E11" s="90"/>
    </row>
    <row r="12" spans="2:5" ht="15">
      <c r="B12" s="91"/>
      <c r="C12" s="91"/>
      <c r="D12" s="91"/>
      <c r="E12" s="91"/>
    </row>
    <row r="13" spans="2:5" ht="94.5">
      <c r="B13" s="203" t="s">
        <v>11</v>
      </c>
      <c r="C13" s="203"/>
      <c r="D13" s="92" t="s">
        <v>143</v>
      </c>
      <c r="E13" s="92" t="s">
        <v>144</v>
      </c>
    </row>
    <row r="14" spans="2:5" ht="39" customHeight="1">
      <c r="B14" s="92" t="s">
        <v>3</v>
      </c>
      <c r="C14" s="93" t="s">
        <v>139</v>
      </c>
      <c r="D14" s="94">
        <v>0</v>
      </c>
      <c r="E14" s="94">
        <v>0</v>
      </c>
    </row>
    <row r="15" spans="2:5" ht="54" customHeight="1">
      <c r="B15" s="92" t="s">
        <v>4</v>
      </c>
      <c r="C15" s="93" t="s">
        <v>140</v>
      </c>
      <c r="D15" s="94">
        <v>0</v>
      </c>
      <c r="E15" s="94">
        <v>0</v>
      </c>
    </row>
    <row r="16" spans="2:5" ht="39.75" customHeight="1">
      <c r="B16" s="92" t="s">
        <v>5</v>
      </c>
      <c r="C16" s="93" t="s">
        <v>141</v>
      </c>
      <c r="D16" s="94">
        <v>0</v>
      </c>
      <c r="E16" s="94">
        <v>0</v>
      </c>
    </row>
  </sheetData>
  <sheetProtection/>
  <mergeCells count="5">
    <mergeCell ref="B7:E7"/>
    <mergeCell ref="B8:E8"/>
    <mergeCell ref="B9:E9"/>
    <mergeCell ref="B10:E10"/>
    <mergeCell ref="B13:C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">
      <selection activeCell="D15" sqref="D15:F22"/>
    </sheetView>
  </sheetViews>
  <sheetFormatPr defaultColWidth="9.00390625" defaultRowHeight="12.75"/>
  <cols>
    <col min="1" max="1" width="2.625" style="0" customWidth="1"/>
    <col min="2" max="2" width="5.125" style="0" customWidth="1"/>
    <col min="3" max="3" width="41.75390625" style="0" customWidth="1"/>
    <col min="4" max="4" width="30.875" style="0" customWidth="1"/>
    <col min="5" max="5" width="31.25390625" style="0" customWidth="1"/>
    <col min="6" max="6" width="27.625" style="0" customWidth="1"/>
  </cols>
  <sheetData>
    <row r="1" spans="5:6" ht="12.75">
      <c r="E1" s="87"/>
      <c r="F1" s="15" t="s">
        <v>149</v>
      </c>
    </row>
    <row r="2" spans="5:6" ht="12.75">
      <c r="E2" s="88"/>
      <c r="F2" s="16" t="s">
        <v>62</v>
      </c>
    </row>
    <row r="3" spans="5:6" ht="12.75">
      <c r="E3" s="88"/>
      <c r="F3" s="16" t="s">
        <v>63</v>
      </c>
    </row>
    <row r="4" spans="5:6" ht="12.75">
      <c r="E4" s="89"/>
      <c r="F4" s="15" t="s">
        <v>9</v>
      </c>
    </row>
    <row r="5" spans="5:6" ht="12.75">
      <c r="E5" s="89"/>
      <c r="F5" s="16" t="s">
        <v>10</v>
      </c>
    </row>
    <row r="7" spans="2:6" ht="18.75">
      <c r="B7" s="202" t="s">
        <v>136</v>
      </c>
      <c r="C7" s="202"/>
      <c r="D7" s="202"/>
      <c r="E7" s="202"/>
      <c r="F7" s="202"/>
    </row>
    <row r="8" spans="2:6" ht="18.75">
      <c r="B8" s="202" t="s">
        <v>150</v>
      </c>
      <c r="C8" s="202"/>
      <c r="D8" s="202"/>
      <c r="E8" s="202"/>
      <c r="F8" s="202"/>
    </row>
    <row r="9" spans="2:6" ht="18.75">
      <c r="B9" s="202" t="s">
        <v>151</v>
      </c>
      <c r="C9" s="202"/>
      <c r="D9" s="202"/>
      <c r="E9" s="202"/>
      <c r="F9" s="202"/>
    </row>
    <row r="10" spans="2:6" ht="18.75">
      <c r="B10" s="202" t="s">
        <v>138</v>
      </c>
      <c r="C10" s="204"/>
      <c r="D10" s="204"/>
      <c r="E10" s="204"/>
      <c r="F10" s="204"/>
    </row>
    <row r="11" spans="2:6" ht="18.75">
      <c r="B11" s="202" t="s">
        <v>21</v>
      </c>
      <c r="C11" s="202"/>
      <c r="D11" s="202"/>
      <c r="E11" s="202"/>
      <c r="F11" s="202"/>
    </row>
    <row r="14" spans="2:6" ht="110.25">
      <c r="B14" s="95" t="s">
        <v>19</v>
      </c>
      <c r="C14" s="92" t="s">
        <v>11</v>
      </c>
      <c r="D14" s="92" t="s">
        <v>157</v>
      </c>
      <c r="E14" s="92" t="s">
        <v>158</v>
      </c>
      <c r="F14" s="92" t="s">
        <v>159</v>
      </c>
    </row>
    <row r="15" spans="2:6" ht="31.5">
      <c r="B15" s="92" t="s">
        <v>3</v>
      </c>
      <c r="C15" s="93" t="s">
        <v>152</v>
      </c>
      <c r="D15" s="141">
        <v>0</v>
      </c>
      <c r="E15" s="141">
        <v>0</v>
      </c>
      <c r="F15" s="141">
        <v>0</v>
      </c>
    </row>
    <row r="16" spans="2:6" ht="15.75">
      <c r="B16" s="93"/>
      <c r="C16" s="96" t="s">
        <v>153</v>
      </c>
      <c r="D16" s="141">
        <v>0</v>
      </c>
      <c r="E16" s="141">
        <v>0</v>
      </c>
      <c r="F16" s="141">
        <v>0</v>
      </c>
    </row>
    <row r="17" spans="2:6" ht="15.75">
      <c r="B17" s="93"/>
      <c r="C17" s="96" t="s">
        <v>154</v>
      </c>
      <c r="D17" s="141">
        <v>0</v>
      </c>
      <c r="E17" s="141">
        <v>0</v>
      </c>
      <c r="F17" s="141">
        <v>0</v>
      </c>
    </row>
    <row r="18" spans="2:6" ht="15.75">
      <c r="B18" s="93"/>
      <c r="C18" s="96" t="s">
        <v>155</v>
      </c>
      <c r="D18" s="141">
        <v>0</v>
      </c>
      <c r="E18" s="141">
        <v>0</v>
      </c>
      <c r="F18" s="141">
        <v>0</v>
      </c>
    </row>
    <row r="19" spans="2:6" ht="31.5">
      <c r="B19" s="92" t="s">
        <v>4</v>
      </c>
      <c r="C19" s="93" t="s">
        <v>156</v>
      </c>
      <c r="D19" s="141">
        <v>0</v>
      </c>
      <c r="E19" s="141">
        <v>0</v>
      </c>
      <c r="F19" s="141">
        <v>0</v>
      </c>
    </row>
    <row r="20" spans="2:6" ht="15.75">
      <c r="B20" s="93"/>
      <c r="C20" s="96" t="s">
        <v>153</v>
      </c>
      <c r="D20" s="141">
        <v>0</v>
      </c>
      <c r="E20" s="141">
        <v>0</v>
      </c>
      <c r="F20" s="141">
        <v>0</v>
      </c>
    </row>
    <row r="21" spans="2:6" ht="15.75">
      <c r="B21" s="93"/>
      <c r="C21" s="96" t="s">
        <v>154</v>
      </c>
      <c r="D21" s="141">
        <v>0</v>
      </c>
      <c r="E21" s="141">
        <v>0</v>
      </c>
      <c r="F21" s="141">
        <v>0</v>
      </c>
    </row>
    <row r="22" spans="2:6" ht="15.75">
      <c r="B22" s="93"/>
      <c r="C22" s="96" t="s">
        <v>155</v>
      </c>
      <c r="D22" s="141">
        <v>0</v>
      </c>
      <c r="E22" s="141">
        <v>0</v>
      </c>
      <c r="F22" s="141">
        <v>0</v>
      </c>
    </row>
  </sheetData>
  <sheetProtection/>
  <mergeCells count="5"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V31"/>
  <sheetViews>
    <sheetView zoomScalePageLayoutView="0" workbookViewId="0" topLeftCell="A16">
      <selection activeCell="C22" sqref="C22"/>
    </sheetView>
  </sheetViews>
  <sheetFormatPr defaultColWidth="9.00390625" defaultRowHeight="12.75"/>
  <cols>
    <col min="1" max="1" width="2.25390625" style="91" customWidth="1"/>
    <col min="2" max="2" width="4.625" style="2" customWidth="1"/>
    <col min="3" max="3" width="24.125" style="2" customWidth="1"/>
    <col min="4" max="4" width="8.75390625" style="2" customWidth="1"/>
    <col min="5" max="5" width="8.25390625" style="2" customWidth="1"/>
    <col min="6" max="6" width="8.375" style="2" customWidth="1"/>
    <col min="7" max="7" width="10.125" style="2" customWidth="1"/>
    <col min="8" max="8" width="10.625" style="2" customWidth="1"/>
    <col min="9" max="9" width="9.875" style="2" customWidth="1"/>
    <col min="10" max="10" width="11.25390625" style="2" customWidth="1"/>
    <col min="11" max="11" width="8.875" style="2" customWidth="1"/>
    <col min="12" max="12" width="8.375" style="2" customWidth="1"/>
    <col min="13" max="16384" width="9.125" style="91" customWidth="1"/>
  </cols>
  <sheetData>
    <row r="1" spans="2:13" ht="15">
      <c r="B1" s="1"/>
      <c r="C1" s="1"/>
      <c r="D1" s="1"/>
      <c r="E1" s="1"/>
      <c r="F1" s="1"/>
      <c r="G1" s="1"/>
      <c r="H1" s="1"/>
      <c r="I1" s="87"/>
      <c r="J1" s="97"/>
      <c r="K1" s="1"/>
      <c r="L1" s="15" t="s">
        <v>160</v>
      </c>
      <c r="M1" s="15"/>
    </row>
    <row r="2" spans="2:22" ht="15" customHeight="1">
      <c r="B2" s="1"/>
      <c r="C2" s="1"/>
      <c r="D2" s="1"/>
      <c r="E2" s="1"/>
      <c r="F2" s="1"/>
      <c r="G2" s="1"/>
      <c r="H2" s="1"/>
      <c r="I2" s="88"/>
      <c r="J2" s="98"/>
      <c r="K2" s="98"/>
      <c r="L2" s="16" t="s">
        <v>62</v>
      </c>
      <c r="M2" s="16"/>
      <c r="S2" s="87"/>
      <c r="T2" s="98"/>
      <c r="U2" s="1"/>
      <c r="V2" s="1"/>
    </row>
    <row r="3" spans="2:22" ht="12.75" customHeight="1">
      <c r="B3" s="1"/>
      <c r="C3" s="1"/>
      <c r="D3" s="1"/>
      <c r="E3" s="1"/>
      <c r="F3" s="1"/>
      <c r="G3" s="1"/>
      <c r="H3" s="1"/>
      <c r="I3" s="98"/>
      <c r="J3" s="98"/>
      <c r="K3" s="98"/>
      <c r="L3" s="16" t="s">
        <v>63</v>
      </c>
      <c r="M3" s="16"/>
      <c r="S3" s="207"/>
      <c r="T3" s="208"/>
      <c r="U3" s="208"/>
      <c r="V3" s="208"/>
    </row>
    <row r="4" spans="2:22" ht="15">
      <c r="B4" s="1"/>
      <c r="C4" s="1"/>
      <c r="D4" s="1"/>
      <c r="E4" s="1"/>
      <c r="F4" s="1"/>
      <c r="G4" s="1"/>
      <c r="H4" s="1"/>
      <c r="I4" s="89"/>
      <c r="J4" s="98"/>
      <c r="K4" s="1"/>
      <c r="L4" s="15" t="s">
        <v>9</v>
      </c>
      <c r="M4" s="15"/>
      <c r="S4" s="208"/>
      <c r="T4" s="208"/>
      <c r="U4" s="208"/>
      <c r="V4" s="208"/>
    </row>
    <row r="5" spans="2:22" ht="15">
      <c r="B5" s="7"/>
      <c r="C5" s="7"/>
      <c r="D5" s="7"/>
      <c r="E5" s="7"/>
      <c r="F5" s="7"/>
      <c r="G5" s="7"/>
      <c r="H5" s="7"/>
      <c r="I5" s="89"/>
      <c r="J5" s="98"/>
      <c r="K5" s="7"/>
      <c r="L5" s="16" t="s">
        <v>10</v>
      </c>
      <c r="M5" s="16"/>
      <c r="S5" s="89"/>
      <c r="T5" s="98"/>
      <c r="U5" s="1"/>
      <c r="V5" s="1"/>
    </row>
    <row r="6" spans="2:22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S6" s="89"/>
      <c r="T6" s="98"/>
      <c r="U6" s="7"/>
      <c r="V6" s="7"/>
    </row>
    <row r="7" spans="2:12" ht="18.75">
      <c r="B7" s="176" t="s">
        <v>161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2:12" ht="40.5" customHeight="1">
      <c r="B8" s="177" t="s">
        <v>162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2:12" ht="18.75">
      <c r="B9" s="177" t="s">
        <v>21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1" spans="2:12" ht="36.75" customHeight="1">
      <c r="B11" s="209" t="s">
        <v>163</v>
      </c>
      <c r="C11" s="210"/>
      <c r="D11" s="213" t="s">
        <v>164</v>
      </c>
      <c r="E11" s="214"/>
      <c r="F11" s="214"/>
      <c r="G11" s="213" t="s">
        <v>165</v>
      </c>
      <c r="H11" s="214"/>
      <c r="I11" s="214"/>
      <c r="J11" s="213" t="s">
        <v>166</v>
      </c>
      <c r="K11" s="214"/>
      <c r="L11" s="215"/>
    </row>
    <row r="12" spans="2:12" ht="25.5">
      <c r="B12" s="211"/>
      <c r="C12" s="212"/>
      <c r="D12" s="99" t="s">
        <v>153</v>
      </c>
      <c r="E12" s="99" t="s">
        <v>154</v>
      </c>
      <c r="F12" s="99" t="s">
        <v>167</v>
      </c>
      <c r="G12" s="99" t="s">
        <v>153</v>
      </c>
      <c r="H12" s="99" t="s">
        <v>154</v>
      </c>
      <c r="I12" s="99" t="s">
        <v>167</v>
      </c>
      <c r="J12" s="99" t="s">
        <v>153</v>
      </c>
      <c r="K12" s="99" t="s">
        <v>154</v>
      </c>
      <c r="L12" s="99" t="s">
        <v>167</v>
      </c>
    </row>
    <row r="13" spans="2:12" s="100" customFormat="1" ht="15">
      <c r="B13" s="101" t="s">
        <v>3</v>
      </c>
      <c r="C13" s="102" t="s">
        <v>168</v>
      </c>
      <c r="D13" s="104">
        <v>0</v>
      </c>
      <c r="E13" s="104">
        <v>0</v>
      </c>
      <c r="F13" s="104">
        <v>0</v>
      </c>
      <c r="G13" s="105">
        <v>0</v>
      </c>
      <c r="H13" s="105">
        <v>0</v>
      </c>
      <c r="I13" s="105">
        <v>0</v>
      </c>
      <c r="J13" s="105">
        <v>0</v>
      </c>
      <c r="K13" s="103">
        <v>0</v>
      </c>
      <c r="L13" s="103">
        <v>0</v>
      </c>
    </row>
    <row r="14" spans="2:12" s="100" customFormat="1" ht="15">
      <c r="B14" s="106"/>
      <c r="C14" s="107" t="s">
        <v>169</v>
      </c>
      <c r="D14" s="108"/>
      <c r="E14" s="108"/>
      <c r="F14" s="108"/>
      <c r="G14" s="109"/>
      <c r="H14" s="109"/>
      <c r="I14" s="109"/>
      <c r="J14" s="109"/>
      <c r="K14" s="110"/>
      <c r="L14" s="110"/>
    </row>
    <row r="15" spans="2:12" s="100" customFormat="1" ht="17.25" customHeight="1">
      <c r="B15" s="111"/>
      <c r="C15" s="112" t="s">
        <v>170</v>
      </c>
      <c r="D15" s="113">
        <v>0</v>
      </c>
      <c r="E15" s="113">
        <v>0</v>
      </c>
      <c r="F15" s="113">
        <v>0</v>
      </c>
      <c r="G15" s="115">
        <v>0</v>
      </c>
      <c r="H15" s="115">
        <v>0</v>
      </c>
      <c r="I15" s="115">
        <v>0</v>
      </c>
      <c r="J15" s="115">
        <v>0</v>
      </c>
      <c r="K15" s="114">
        <v>0</v>
      </c>
      <c r="L15" s="114">
        <v>0</v>
      </c>
    </row>
    <row r="16" spans="2:12" s="100" customFormat="1" ht="30">
      <c r="B16" s="101" t="s">
        <v>4</v>
      </c>
      <c r="C16" s="102" t="s">
        <v>171</v>
      </c>
      <c r="D16" s="103">
        <v>0</v>
      </c>
      <c r="E16" s="104">
        <v>0</v>
      </c>
      <c r="F16" s="104">
        <v>0</v>
      </c>
      <c r="G16" s="103">
        <v>0</v>
      </c>
      <c r="H16" s="105">
        <v>0</v>
      </c>
      <c r="I16" s="103">
        <v>0</v>
      </c>
      <c r="J16" s="103">
        <v>0</v>
      </c>
      <c r="K16" s="103">
        <v>0</v>
      </c>
      <c r="L16" s="103">
        <v>0</v>
      </c>
    </row>
    <row r="17" spans="2:12" s="100" customFormat="1" ht="15">
      <c r="B17" s="106"/>
      <c r="C17" s="107" t="s">
        <v>169</v>
      </c>
      <c r="D17" s="108"/>
      <c r="E17" s="108"/>
      <c r="F17" s="108"/>
      <c r="G17" s="109"/>
      <c r="H17" s="109"/>
      <c r="I17" s="110"/>
      <c r="J17" s="110"/>
      <c r="K17" s="110"/>
      <c r="L17" s="110"/>
    </row>
    <row r="18" spans="2:12" s="100" customFormat="1" ht="17.25" customHeight="1">
      <c r="B18" s="111"/>
      <c r="C18" s="112" t="s">
        <v>172</v>
      </c>
      <c r="D18" s="110">
        <v>0</v>
      </c>
      <c r="E18" s="113">
        <v>0</v>
      </c>
      <c r="F18" s="113">
        <v>0</v>
      </c>
      <c r="G18" s="114">
        <v>0</v>
      </c>
      <c r="H18" s="115">
        <v>0</v>
      </c>
      <c r="I18" s="114">
        <v>0</v>
      </c>
      <c r="J18" s="114">
        <v>0</v>
      </c>
      <c r="K18" s="114">
        <v>0</v>
      </c>
      <c r="L18" s="114">
        <v>0</v>
      </c>
    </row>
    <row r="19" spans="2:12" s="100" customFormat="1" ht="30">
      <c r="B19" s="101" t="s">
        <v>5</v>
      </c>
      <c r="C19" s="102" t="s">
        <v>173</v>
      </c>
      <c r="D19" s="103">
        <v>0</v>
      </c>
      <c r="E19" s="104">
        <v>0</v>
      </c>
      <c r="F19" s="104">
        <v>0</v>
      </c>
      <c r="G19" s="103">
        <v>0</v>
      </c>
      <c r="H19" s="105">
        <v>0</v>
      </c>
      <c r="I19" s="103">
        <v>0</v>
      </c>
      <c r="J19" s="103">
        <v>0</v>
      </c>
      <c r="K19" s="103">
        <v>0</v>
      </c>
      <c r="L19" s="103">
        <v>0</v>
      </c>
    </row>
    <row r="20" spans="2:12" s="100" customFormat="1" ht="15">
      <c r="B20" s="106"/>
      <c r="C20" s="107" t="s">
        <v>169</v>
      </c>
      <c r="D20" s="108"/>
      <c r="E20" s="108"/>
      <c r="F20" s="108"/>
      <c r="G20" s="109"/>
      <c r="H20" s="109"/>
      <c r="I20" s="110"/>
      <c r="J20" s="110"/>
      <c r="K20" s="110"/>
      <c r="L20" s="110"/>
    </row>
    <row r="21" spans="2:12" s="100" customFormat="1" ht="30">
      <c r="B21" s="111"/>
      <c r="C21" s="112" t="s">
        <v>174</v>
      </c>
      <c r="D21" s="110">
        <v>0</v>
      </c>
      <c r="E21" s="113">
        <v>0</v>
      </c>
      <c r="F21" s="113">
        <v>0</v>
      </c>
      <c r="G21" s="114">
        <v>0</v>
      </c>
      <c r="H21" s="115">
        <v>0</v>
      </c>
      <c r="I21" s="114">
        <v>0</v>
      </c>
      <c r="J21" s="114">
        <v>0</v>
      </c>
      <c r="K21" s="114">
        <v>0</v>
      </c>
      <c r="L21" s="114">
        <v>0</v>
      </c>
    </row>
    <row r="22" spans="2:12" s="100" customFormat="1" ht="30">
      <c r="B22" s="101" t="s">
        <v>6</v>
      </c>
      <c r="C22" s="102" t="s">
        <v>175</v>
      </c>
      <c r="D22" s="103">
        <v>0</v>
      </c>
      <c r="E22" s="103"/>
      <c r="F22" s="104">
        <v>0</v>
      </c>
      <c r="G22" s="103">
        <v>0</v>
      </c>
      <c r="H22" s="103"/>
      <c r="I22" s="103">
        <v>0</v>
      </c>
      <c r="J22" s="103">
        <f>G22*17.86/1000</f>
        <v>0</v>
      </c>
      <c r="K22" s="103">
        <v>0</v>
      </c>
      <c r="L22" s="103">
        <v>0</v>
      </c>
    </row>
    <row r="23" spans="2:12" s="100" customFormat="1" ht="15">
      <c r="B23" s="106"/>
      <c r="C23" s="107" t="s">
        <v>169</v>
      </c>
      <c r="D23" s="108"/>
      <c r="E23" s="108"/>
      <c r="F23" s="108"/>
      <c r="G23" s="109"/>
      <c r="H23" s="109"/>
      <c r="I23" s="110"/>
      <c r="J23" s="110"/>
      <c r="K23" s="110"/>
      <c r="L23" s="110"/>
    </row>
    <row r="24" spans="2:12" s="100" customFormat="1" ht="30">
      <c r="B24" s="111"/>
      <c r="C24" s="112" t="s">
        <v>174</v>
      </c>
      <c r="D24" s="110">
        <v>0</v>
      </c>
      <c r="E24" s="113">
        <v>0</v>
      </c>
      <c r="F24" s="113">
        <v>0</v>
      </c>
      <c r="G24" s="114">
        <v>0</v>
      </c>
      <c r="H24" s="115">
        <v>0</v>
      </c>
      <c r="I24" s="114">
        <v>0</v>
      </c>
      <c r="J24" s="114">
        <v>0</v>
      </c>
      <c r="K24" s="114">
        <v>0</v>
      </c>
      <c r="L24" s="114">
        <v>0</v>
      </c>
    </row>
    <row r="25" spans="2:12" s="100" customFormat="1" ht="15">
      <c r="B25" s="101" t="s">
        <v>7</v>
      </c>
      <c r="C25" s="102" t="s">
        <v>176</v>
      </c>
      <c r="D25" s="103">
        <v>0</v>
      </c>
      <c r="E25" s="104">
        <v>0</v>
      </c>
      <c r="F25" s="104">
        <v>0</v>
      </c>
      <c r="G25" s="103">
        <v>0</v>
      </c>
      <c r="H25" s="105">
        <v>0</v>
      </c>
      <c r="I25" s="103">
        <v>0</v>
      </c>
      <c r="J25" s="103">
        <v>0</v>
      </c>
      <c r="K25" s="103">
        <v>0</v>
      </c>
      <c r="L25" s="103">
        <v>0</v>
      </c>
    </row>
    <row r="26" spans="2:12" s="100" customFormat="1" ht="15">
      <c r="B26" s="106"/>
      <c r="C26" s="107" t="s">
        <v>169</v>
      </c>
      <c r="D26" s="108"/>
      <c r="E26" s="108"/>
      <c r="F26" s="108"/>
      <c r="G26" s="109"/>
      <c r="H26" s="109"/>
      <c r="I26" s="110"/>
      <c r="J26" s="110"/>
      <c r="K26" s="110"/>
      <c r="L26" s="110"/>
    </row>
    <row r="27" spans="2:12" s="100" customFormat="1" ht="30">
      <c r="B27" s="111"/>
      <c r="C27" s="112" t="s">
        <v>174</v>
      </c>
      <c r="D27" s="110">
        <v>0</v>
      </c>
      <c r="E27" s="113">
        <v>0</v>
      </c>
      <c r="F27" s="113">
        <v>0</v>
      </c>
      <c r="G27" s="114">
        <v>0</v>
      </c>
      <c r="H27" s="115">
        <v>0</v>
      </c>
      <c r="I27" s="114">
        <v>0</v>
      </c>
      <c r="J27" s="114">
        <v>0</v>
      </c>
      <c r="K27" s="114">
        <v>0</v>
      </c>
      <c r="L27" s="114">
        <v>0</v>
      </c>
    </row>
    <row r="28" spans="2:12" s="100" customFormat="1" ht="30">
      <c r="B28" s="116" t="s">
        <v>8</v>
      </c>
      <c r="C28" s="117" t="s">
        <v>177</v>
      </c>
      <c r="D28" s="24">
        <v>0</v>
      </c>
      <c r="E28" s="25">
        <v>0</v>
      </c>
      <c r="F28" s="25">
        <v>0</v>
      </c>
      <c r="G28" s="24">
        <v>0</v>
      </c>
      <c r="H28" s="29">
        <v>0</v>
      </c>
      <c r="I28" s="24">
        <v>0</v>
      </c>
      <c r="J28" s="24">
        <v>0</v>
      </c>
      <c r="K28" s="24">
        <v>0</v>
      </c>
      <c r="L28" s="24">
        <v>0</v>
      </c>
    </row>
    <row r="30" spans="2:12" s="118" customFormat="1" ht="18.75" customHeight="1">
      <c r="B30" s="205" t="s">
        <v>178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2:12" s="118" customFormat="1" ht="81" customHeight="1">
      <c r="B31" s="206" t="s">
        <v>179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</row>
  </sheetData>
  <sheetProtection/>
  <mergeCells count="10">
    <mergeCell ref="B30:L30"/>
    <mergeCell ref="B31:L31"/>
    <mergeCell ref="S3:V4"/>
    <mergeCell ref="B7:L7"/>
    <mergeCell ref="B8:L8"/>
    <mergeCell ref="B9:L9"/>
    <mergeCell ref="B11:C12"/>
    <mergeCell ref="D11:F11"/>
    <mergeCell ref="G11:I11"/>
    <mergeCell ref="J11:L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2.25390625" style="0" customWidth="1"/>
    <col min="2" max="2" width="4.00390625" style="1" customWidth="1"/>
    <col min="3" max="3" width="25.125" style="1" customWidth="1"/>
    <col min="4" max="4" width="12.375" style="1" customWidth="1"/>
    <col min="5" max="5" width="11.375" style="1" customWidth="1"/>
    <col min="6" max="6" width="11.00390625" style="1" customWidth="1"/>
    <col min="7" max="7" width="13.25390625" style="1" customWidth="1"/>
    <col min="8" max="8" width="11.75390625" style="1" customWidth="1"/>
    <col min="9" max="9" width="10.125" style="1" customWidth="1"/>
  </cols>
  <sheetData>
    <row r="1" spans="6:9" ht="12.75">
      <c r="F1" s="87"/>
      <c r="G1" s="119"/>
      <c r="I1" s="15" t="s">
        <v>180</v>
      </c>
    </row>
    <row r="2" spans="5:9" ht="15" customHeight="1">
      <c r="E2" s="120"/>
      <c r="F2" s="88"/>
      <c r="G2" s="121"/>
      <c r="H2" s="121"/>
      <c r="I2" s="16" t="s">
        <v>62</v>
      </c>
    </row>
    <row r="3" spans="6:9" ht="12.75">
      <c r="F3" s="121"/>
      <c r="G3" s="121"/>
      <c r="H3" s="121"/>
      <c r="I3" s="16" t="s">
        <v>63</v>
      </c>
    </row>
    <row r="4" spans="6:9" ht="12.75">
      <c r="F4" s="89"/>
      <c r="G4" s="119"/>
      <c r="I4" s="15" t="s">
        <v>9</v>
      </c>
    </row>
    <row r="5" spans="6:9" ht="12.75">
      <c r="F5" s="89"/>
      <c r="G5" s="119"/>
      <c r="H5" s="7"/>
      <c r="I5" s="16" t="s">
        <v>10</v>
      </c>
    </row>
    <row r="8" spans="2:9" ht="14.25">
      <c r="B8" s="217" t="s">
        <v>161</v>
      </c>
      <c r="C8" s="217"/>
      <c r="D8" s="217"/>
      <c r="E8" s="217"/>
      <c r="F8" s="217"/>
      <c r="G8" s="217"/>
      <c r="H8" s="217"/>
      <c r="I8" s="217"/>
    </row>
    <row r="9" spans="2:9" ht="14.25">
      <c r="B9" s="218" t="s">
        <v>181</v>
      </c>
      <c r="C9" s="218"/>
      <c r="D9" s="218"/>
      <c r="E9" s="218"/>
      <c r="F9" s="218"/>
      <c r="G9" s="218"/>
      <c r="H9" s="218"/>
      <c r="I9" s="218"/>
    </row>
    <row r="10" spans="2:9" ht="14.25">
      <c r="B10" s="218" t="s">
        <v>21</v>
      </c>
      <c r="C10" s="218"/>
      <c r="D10" s="218"/>
      <c r="E10" s="218"/>
      <c r="F10" s="218"/>
      <c r="G10" s="218"/>
      <c r="H10" s="218"/>
      <c r="I10" s="218"/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2:9" ht="25.5" customHeight="1">
      <c r="B12" s="219" t="s">
        <v>182</v>
      </c>
      <c r="C12" s="220"/>
      <c r="D12" s="223" t="s">
        <v>183</v>
      </c>
      <c r="E12" s="224"/>
      <c r="F12" s="224"/>
      <c r="G12" s="223" t="s">
        <v>165</v>
      </c>
      <c r="H12" s="224"/>
      <c r="I12" s="225"/>
    </row>
    <row r="13" spans="2:9" ht="30">
      <c r="B13" s="221"/>
      <c r="C13" s="222"/>
      <c r="D13" s="123" t="s">
        <v>153</v>
      </c>
      <c r="E13" s="123" t="s">
        <v>154</v>
      </c>
      <c r="F13" s="122" t="s">
        <v>167</v>
      </c>
      <c r="G13" s="123" t="s">
        <v>153</v>
      </c>
      <c r="H13" s="123" t="s">
        <v>154</v>
      </c>
      <c r="I13" s="123" t="s">
        <v>167</v>
      </c>
    </row>
    <row r="14" spans="2:9" s="67" customFormat="1" ht="15">
      <c r="B14" s="124" t="s">
        <v>3</v>
      </c>
      <c r="C14" s="102" t="s">
        <v>168</v>
      </c>
      <c r="D14" s="104">
        <v>0</v>
      </c>
      <c r="E14" s="104">
        <v>0</v>
      </c>
      <c r="F14" s="125">
        <v>0</v>
      </c>
      <c r="G14" s="105">
        <v>0</v>
      </c>
      <c r="H14" s="105">
        <v>0</v>
      </c>
      <c r="I14" s="103">
        <v>0</v>
      </c>
    </row>
    <row r="15" spans="2:9" s="67" customFormat="1" ht="15">
      <c r="B15" s="126"/>
      <c r="C15" s="127" t="s">
        <v>169</v>
      </c>
      <c r="D15" s="108"/>
      <c r="E15" s="108"/>
      <c r="F15" s="128"/>
      <c r="G15" s="109"/>
      <c r="H15" s="109"/>
      <c r="I15" s="110"/>
    </row>
    <row r="16" spans="2:9" s="67" customFormat="1" ht="15">
      <c r="B16" s="129"/>
      <c r="C16" s="112" t="s">
        <v>170</v>
      </c>
      <c r="D16" s="113">
        <v>0</v>
      </c>
      <c r="E16" s="113">
        <v>0</v>
      </c>
      <c r="F16" s="130">
        <v>0</v>
      </c>
      <c r="G16" s="115">
        <v>0</v>
      </c>
      <c r="H16" s="115">
        <v>0</v>
      </c>
      <c r="I16" s="114">
        <v>0</v>
      </c>
    </row>
    <row r="17" spans="2:9" s="67" customFormat="1" ht="30">
      <c r="B17" s="124" t="s">
        <v>4</v>
      </c>
      <c r="C17" s="102" t="s">
        <v>184</v>
      </c>
      <c r="D17" s="104">
        <v>0</v>
      </c>
      <c r="E17" s="104">
        <v>0</v>
      </c>
      <c r="F17" s="125">
        <v>0</v>
      </c>
      <c r="G17" s="105">
        <v>0</v>
      </c>
      <c r="H17" s="105">
        <v>0</v>
      </c>
      <c r="I17" s="103">
        <v>0</v>
      </c>
    </row>
    <row r="18" spans="2:9" s="67" customFormat="1" ht="15">
      <c r="B18" s="126"/>
      <c r="C18" s="127" t="s">
        <v>169</v>
      </c>
      <c r="D18" s="108"/>
      <c r="E18" s="108"/>
      <c r="F18" s="128"/>
      <c r="G18" s="109"/>
      <c r="H18" s="109"/>
      <c r="I18" s="110"/>
    </row>
    <row r="19" spans="2:9" s="67" customFormat="1" ht="15">
      <c r="B19" s="129"/>
      <c r="C19" s="112" t="s">
        <v>172</v>
      </c>
      <c r="D19" s="113">
        <v>0</v>
      </c>
      <c r="E19" s="113">
        <v>0</v>
      </c>
      <c r="F19" s="130">
        <v>0</v>
      </c>
      <c r="G19" s="115">
        <v>0</v>
      </c>
      <c r="H19" s="115">
        <v>0</v>
      </c>
      <c r="I19" s="114">
        <v>0</v>
      </c>
    </row>
    <row r="20" spans="2:9" s="67" customFormat="1" ht="30">
      <c r="B20" s="124" t="s">
        <v>5</v>
      </c>
      <c r="C20" s="102" t="s">
        <v>173</v>
      </c>
      <c r="D20" s="104">
        <v>0</v>
      </c>
      <c r="E20" s="105"/>
      <c r="F20" s="104">
        <v>0</v>
      </c>
      <c r="G20" s="105"/>
      <c r="H20" s="105"/>
      <c r="I20" s="103">
        <v>0</v>
      </c>
    </row>
    <row r="21" spans="2:9" s="67" customFormat="1" ht="15">
      <c r="B21" s="126"/>
      <c r="C21" s="127" t="s">
        <v>169</v>
      </c>
      <c r="D21" s="108"/>
      <c r="E21" s="108"/>
      <c r="F21" s="128"/>
      <c r="G21" s="109"/>
      <c r="H21" s="109"/>
      <c r="I21" s="110"/>
    </row>
    <row r="22" spans="2:9" s="67" customFormat="1" ht="30">
      <c r="B22" s="129"/>
      <c r="C22" s="112" t="s">
        <v>174</v>
      </c>
      <c r="D22" s="113">
        <v>0</v>
      </c>
      <c r="E22" s="113">
        <v>0</v>
      </c>
      <c r="F22" s="130">
        <v>0</v>
      </c>
      <c r="G22" s="115">
        <v>0</v>
      </c>
      <c r="H22" s="115">
        <v>0</v>
      </c>
      <c r="I22" s="114">
        <v>0</v>
      </c>
    </row>
    <row r="23" spans="2:9" s="67" customFormat="1" ht="30">
      <c r="B23" s="124" t="s">
        <v>6</v>
      </c>
      <c r="C23" s="102" t="s">
        <v>175</v>
      </c>
      <c r="D23" s="104">
        <v>0</v>
      </c>
      <c r="E23" s="105"/>
      <c r="F23" s="104">
        <v>0</v>
      </c>
      <c r="G23" s="125">
        <v>0</v>
      </c>
      <c r="H23" s="105"/>
      <c r="I23" s="103">
        <v>0</v>
      </c>
    </row>
    <row r="24" spans="2:9" s="67" customFormat="1" ht="15">
      <c r="B24" s="126"/>
      <c r="C24" s="127" t="s">
        <v>169</v>
      </c>
      <c r="D24" s="108"/>
      <c r="E24" s="108"/>
      <c r="F24" s="128"/>
      <c r="G24" s="110"/>
      <c r="H24" s="110"/>
      <c r="I24" s="110"/>
    </row>
    <row r="25" spans="2:9" s="67" customFormat="1" ht="30">
      <c r="B25" s="129"/>
      <c r="C25" s="112" t="s">
        <v>174</v>
      </c>
      <c r="D25" s="113">
        <v>0</v>
      </c>
      <c r="E25" s="113">
        <v>0</v>
      </c>
      <c r="F25" s="130">
        <v>0</v>
      </c>
      <c r="G25" s="114">
        <v>0</v>
      </c>
      <c r="H25" s="114">
        <v>0</v>
      </c>
      <c r="I25" s="114">
        <v>0</v>
      </c>
    </row>
    <row r="26" spans="2:9" s="67" customFormat="1" ht="15">
      <c r="B26" s="124" t="s">
        <v>7</v>
      </c>
      <c r="C26" s="102" t="s">
        <v>176</v>
      </c>
      <c r="D26" s="108">
        <v>0</v>
      </c>
      <c r="E26" s="108">
        <v>0</v>
      </c>
      <c r="F26" s="128">
        <v>0</v>
      </c>
      <c r="G26" s="110">
        <v>0</v>
      </c>
      <c r="H26" s="110">
        <v>0</v>
      </c>
      <c r="I26" s="110">
        <v>0</v>
      </c>
    </row>
    <row r="27" spans="2:9" s="67" customFormat="1" ht="15">
      <c r="B27" s="126"/>
      <c r="C27" s="127" t="s">
        <v>169</v>
      </c>
      <c r="D27" s="108"/>
      <c r="E27" s="108"/>
      <c r="F27" s="128"/>
      <c r="G27" s="110"/>
      <c r="H27" s="110"/>
      <c r="I27" s="110"/>
    </row>
    <row r="28" spans="2:9" ht="30">
      <c r="B28" s="131"/>
      <c r="C28" s="132" t="s">
        <v>174</v>
      </c>
      <c r="D28" s="133"/>
      <c r="E28" s="133"/>
      <c r="F28" s="134"/>
      <c r="G28" s="135"/>
      <c r="H28" s="135"/>
      <c r="I28" s="135"/>
    </row>
    <row r="29" spans="2:9" ht="15">
      <c r="B29" s="136" t="s">
        <v>8</v>
      </c>
      <c r="C29" s="137" t="s">
        <v>185</v>
      </c>
      <c r="D29" s="138">
        <v>0</v>
      </c>
      <c r="E29" s="138">
        <v>0</v>
      </c>
      <c r="F29" s="139">
        <v>0</v>
      </c>
      <c r="G29" s="140">
        <v>0</v>
      </c>
      <c r="H29" s="140">
        <v>0</v>
      </c>
      <c r="I29" s="140">
        <v>0</v>
      </c>
    </row>
    <row r="31" spans="2:9" ht="28.5" customHeight="1">
      <c r="B31" s="164" t="s">
        <v>186</v>
      </c>
      <c r="C31" s="164"/>
      <c r="D31" s="164"/>
      <c r="E31" s="164"/>
      <c r="F31" s="164"/>
      <c r="G31" s="164"/>
      <c r="H31" s="164"/>
      <c r="I31" s="164"/>
    </row>
    <row r="32" spans="2:9" ht="88.5" customHeight="1">
      <c r="B32" s="216" t="s">
        <v>187</v>
      </c>
      <c r="C32" s="216"/>
      <c r="D32" s="216"/>
      <c r="E32" s="216"/>
      <c r="F32" s="216"/>
      <c r="G32" s="216"/>
      <c r="H32" s="216"/>
      <c r="I32" s="216"/>
    </row>
  </sheetData>
  <sheetProtection/>
  <mergeCells count="8">
    <mergeCell ref="B31:I31"/>
    <mergeCell ref="B32:I32"/>
    <mergeCell ref="B8:I8"/>
    <mergeCell ref="B9:I9"/>
    <mergeCell ref="B10:I10"/>
    <mergeCell ref="B12:C13"/>
    <mergeCell ref="D12:F12"/>
    <mergeCell ref="G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2018-10-16T05:51:16Z</cp:lastPrinted>
  <dcterms:created xsi:type="dcterms:W3CDTF">2011-01-11T10:25:48Z</dcterms:created>
  <dcterms:modified xsi:type="dcterms:W3CDTF">2019-01-17T05:15:52Z</dcterms:modified>
  <cp:category/>
  <cp:version/>
  <cp:contentType/>
  <cp:contentStatus/>
</cp:coreProperties>
</file>